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rea\"/>
    </mc:Choice>
  </mc:AlternateContent>
  <xr:revisionPtr revIDLastSave="0" documentId="8_{902650ED-0527-4A80-B0CE-EC2A12FCE045}" xr6:coauthVersionLast="45" xr6:coauthVersionMax="45" xr10:uidLastSave="{00000000-0000-0000-0000-000000000000}"/>
  <bookViews>
    <workbookView xWindow="-108" yWindow="-108" windowWidth="23256" windowHeight="12576" firstSheet="2" activeTab="3" xr2:uid="{00000000-000D-0000-FFFF-FFFF00000000}"/>
  </bookViews>
  <sheets>
    <sheet name="2018 APPROVED BUDGET DETAILS" sheetId="12" r:id="rId1"/>
    <sheet name="2019 BUDGET DETAIL-APPROVED" sheetId="13" r:id="rId2"/>
    <sheet name="2019 APPROVED BUDGET FEB ASSEMB" sheetId="14" r:id="rId3"/>
    <sheet name="2020 REQUESTED BUDGET" sheetId="15" r:id="rId4"/>
    <sheet name="2016 APPROVED BUDGET" sheetId="2" state="hidden" r:id="rId5"/>
  </sheets>
  <definedNames>
    <definedName name="_xlnm.Print_Area" localSheetId="4">'2016 APPROVED BUDGET'!$A$1:$D$54</definedName>
    <definedName name="_xlnm.Print_Area" localSheetId="0">'2018 APPROVED BUDGET DETAILS'!$A$1:$C$63</definedName>
    <definedName name="_xlnm.Print_Area" localSheetId="2">'2019 APPROVED BUDGET FEB ASSEMB'!$A$1:$F$63</definedName>
    <definedName name="_xlnm.Print_Area" localSheetId="1">'2019 BUDGET DETAIL-APPROVED'!$A$1:$C$63</definedName>
    <definedName name="_xlnm.Print_Area" localSheetId="3">'2020 REQUESTED BUDGET'!$A$1:$E$67</definedName>
    <definedName name="_xlnm.Print_Titles" localSheetId="2">'2019 APPROVED BUDGET FEB ASSEMB'!$1:$4</definedName>
    <definedName name="_xlnm.Print_Titles" localSheetId="1">'2019 BUDGET DETAIL-APPROVED'!$1:$4</definedName>
    <definedName name="_xlnm.Print_Titles" localSheetId="3">'2020 REQUESTED BUDGET'!$1:$4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5" i="15" l="1"/>
  <c r="D16" i="15"/>
  <c r="D19" i="15"/>
  <c r="D30" i="15" l="1"/>
  <c r="D25" i="15" l="1"/>
  <c r="D55" i="15"/>
  <c r="D46" i="15" l="1"/>
  <c r="F15" i="15"/>
  <c r="D17" i="15"/>
  <c r="F17" i="15"/>
  <c r="D41" i="15"/>
  <c r="D56" i="15"/>
  <c r="D47" i="15"/>
  <c r="D33" i="15" l="1"/>
  <c r="D58" i="15"/>
  <c r="D12" i="15"/>
  <c r="C58" i="15"/>
  <c r="B54" i="15"/>
  <c r="B53" i="15"/>
  <c r="B52" i="15"/>
  <c r="B51" i="15"/>
  <c r="B50" i="15"/>
  <c r="B44" i="15"/>
  <c r="B41" i="15"/>
  <c r="B39" i="15"/>
  <c r="B37" i="15"/>
  <c r="B36" i="15"/>
  <c r="C33" i="15"/>
  <c r="B30" i="15"/>
  <c r="B29" i="15"/>
  <c r="B27" i="15"/>
  <c r="B26" i="15"/>
  <c r="B25" i="15"/>
  <c r="B19" i="15"/>
  <c r="B12" i="15"/>
  <c r="C6" i="15"/>
  <c r="C12" i="15" s="1"/>
  <c r="C6" i="14"/>
  <c r="D69" i="15" l="1"/>
  <c r="D60" i="15"/>
  <c r="D64" i="15" s="1"/>
  <c r="B58" i="15"/>
  <c r="B33" i="15"/>
  <c r="C60" i="15"/>
  <c r="C62" i="15" s="1"/>
  <c r="D62" i="15" l="1"/>
  <c r="B60" i="15"/>
  <c r="B64" i="15" l="1"/>
  <c r="B62" i="15"/>
  <c r="C56" i="14" l="1"/>
  <c r="C32" i="14"/>
  <c r="C12" i="14"/>
  <c r="F37" i="14"/>
  <c r="F39" i="14"/>
  <c r="F40" i="14"/>
  <c r="F41" i="14"/>
  <c r="F42" i="14"/>
  <c r="F44" i="14"/>
  <c r="F45" i="14"/>
  <c r="F46" i="14"/>
  <c r="F47" i="14"/>
  <c r="F48" i="14"/>
  <c r="F54" i="14"/>
  <c r="F55" i="14"/>
  <c r="F16" i="14"/>
  <c r="F17" i="14"/>
  <c r="F18" i="14"/>
  <c r="F20" i="14"/>
  <c r="F21" i="14"/>
  <c r="F22" i="14"/>
  <c r="F23" i="14"/>
  <c r="F27" i="14"/>
  <c r="F30" i="14"/>
  <c r="F31" i="14"/>
  <c r="F15" i="14"/>
  <c r="F7" i="14"/>
  <c r="F8" i="14"/>
  <c r="F9" i="14"/>
  <c r="F10" i="14"/>
  <c r="F11" i="14"/>
  <c r="F6" i="14"/>
  <c r="E37" i="14"/>
  <c r="E39" i="14"/>
  <c r="E41" i="14"/>
  <c r="E42" i="14"/>
  <c r="E43" i="14"/>
  <c r="E44" i="14"/>
  <c r="E45" i="14"/>
  <c r="E46" i="14"/>
  <c r="E47" i="14"/>
  <c r="E48" i="14"/>
  <c r="E50" i="14"/>
  <c r="E52" i="14"/>
  <c r="E54" i="14"/>
  <c r="E16" i="14"/>
  <c r="E17" i="14"/>
  <c r="E18" i="14"/>
  <c r="E20" i="14"/>
  <c r="E21" i="14"/>
  <c r="E22" i="14"/>
  <c r="E23" i="14"/>
  <c r="E15" i="14"/>
  <c r="E10" i="14"/>
  <c r="E11" i="14"/>
  <c r="E6" i="14"/>
  <c r="B53" i="14"/>
  <c r="E53" i="14" s="1"/>
  <c r="B52" i="14"/>
  <c r="F52" i="14" s="1"/>
  <c r="B51" i="14"/>
  <c r="E51" i="14" s="1"/>
  <c r="B50" i="14"/>
  <c r="F50" i="14" s="1"/>
  <c r="B49" i="14"/>
  <c r="F49" i="14" s="1"/>
  <c r="B43" i="14"/>
  <c r="F43" i="14" s="1"/>
  <c r="B40" i="14"/>
  <c r="E40" i="14" s="1"/>
  <c r="B38" i="14"/>
  <c r="E38" i="14" s="1"/>
  <c r="B36" i="14"/>
  <c r="B56" i="14" s="1"/>
  <c r="B35" i="14"/>
  <c r="E35" i="14" s="1"/>
  <c r="B29" i="14"/>
  <c r="F29" i="14" s="1"/>
  <c r="B28" i="14"/>
  <c r="F28" i="14" s="1"/>
  <c r="B26" i="14"/>
  <c r="F26" i="14" s="1"/>
  <c r="B25" i="14"/>
  <c r="F25" i="14" s="1"/>
  <c r="B24" i="14"/>
  <c r="B19" i="14"/>
  <c r="F19" i="14" s="1"/>
  <c r="B12" i="14"/>
  <c r="F35" i="14" l="1"/>
  <c r="E49" i="14"/>
  <c r="E19" i="14"/>
  <c r="E28" i="14"/>
  <c r="E26" i="14"/>
  <c r="E36" i="14"/>
  <c r="E25" i="14"/>
  <c r="E29" i="14"/>
  <c r="F38" i="14"/>
  <c r="F53" i="14"/>
  <c r="B32" i="14"/>
  <c r="B58" i="14" s="1"/>
  <c r="B62" i="14" s="1"/>
  <c r="F36" i="14"/>
  <c r="F51" i="14"/>
  <c r="F12" i="14"/>
  <c r="E24" i="14"/>
  <c r="F24" i="14"/>
  <c r="E56" i="14"/>
  <c r="F56" i="14"/>
  <c r="C58" i="14"/>
  <c r="E32" i="14"/>
  <c r="E12" i="14"/>
  <c r="B60" i="14"/>
  <c r="B52" i="13"/>
  <c r="B49" i="13"/>
  <c r="B43" i="13"/>
  <c r="B36" i="13"/>
  <c r="B24" i="13"/>
  <c r="F32" i="14" l="1"/>
  <c r="E58" i="14"/>
  <c r="F58" i="14"/>
  <c r="C60" i="14"/>
  <c r="B35" i="13"/>
  <c r="B19" i="13" l="1"/>
  <c r="B51" i="13" l="1"/>
  <c r="B53" i="13"/>
  <c r="B29" i="13"/>
  <c r="B26" i="13"/>
  <c r="B28" i="13"/>
  <c r="B25" i="13"/>
  <c r="B38" i="13"/>
  <c r="B40" i="13"/>
  <c r="B50" i="13"/>
  <c r="B56" i="13" l="1"/>
  <c r="B32" i="13"/>
  <c r="B12" i="13"/>
  <c r="B58" i="13" l="1"/>
  <c r="B62" i="13" s="1"/>
  <c r="B56" i="12"/>
  <c r="B33" i="12"/>
  <c r="B12" i="12"/>
  <c r="B60" i="13" l="1"/>
  <c r="B58" i="12"/>
  <c r="B62" i="12" s="1"/>
  <c r="B60" i="12" l="1"/>
  <c r="B28" i="2" l="1"/>
  <c r="B50" i="2"/>
  <c r="B7" i="2"/>
  <c r="D47" i="2"/>
  <c r="D48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31" i="2"/>
  <c r="D20" i="2"/>
  <c r="D19" i="2"/>
  <c r="D18" i="2"/>
  <c r="D17" i="2"/>
  <c r="D16" i="2"/>
  <c r="D15" i="2"/>
  <c r="D14" i="2"/>
  <c r="D13" i="2"/>
  <c r="D12" i="2"/>
  <c r="D23" i="2"/>
  <c r="D24" i="2"/>
  <c r="D25" i="2"/>
  <c r="D27" i="2"/>
  <c r="D6" i="2"/>
  <c r="C7" i="2"/>
  <c r="D5" i="2"/>
  <c r="D4" i="2"/>
  <c r="D21" i="2"/>
  <c r="D32" i="2"/>
  <c r="D46" i="2"/>
  <c r="C28" i="2"/>
  <c r="D28" i="2" s="1"/>
  <c r="C50" i="2"/>
  <c r="D7" i="2" l="1"/>
  <c r="C52" i="2"/>
  <c r="C54" i="2" s="1"/>
  <c r="D50" i="2"/>
  <c r="B52" i="2"/>
  <c r="B54" i="2" s="1"/>
  <c r="D52" i="2" l="1"/>
</calcChain>
</file>

<file path=xl/sharedStrings.xml><?xml version="1.0" encoding="utf-8"?>
<sst xmlns="http://schemas.openxmlformats.org/spreadsheetml/2006/main" count="400" uniqueCount="188">
  <si>
    <t>Income</t>
  </si>
  <si>
    <t>7 th Tradition</t>
  </si>
  <si>
    <t>Interest Income</t>
  </si>
  <si>
    <t>Lit. Income</t>
  </si>
  <si>
    <t>Total Income</t>
  </si>
  <si>
    <t>2016 Budget</t>
  </si>
  <si>
    <t>Budget</t>
  </si>
  <si>
    <t>YTD Exp</t>
  </si>
  <si>
    <t>% Executed</t>
  </si>
  <si>
    <t>APPROVED</t>
  </si>
  <si>
    <t>Operating Expenses</t>
  </si>
  <si>
    <t>Travel</t>
  </si>
  <si>
    <t>General Service Conference</t>
  </si>
  <si>
    <t>Delegate</t>
  </si>
  <si>
    <t>Alt. Delegate</t>
  </si>
  <si>
    <t>Area Chair</t>
  </si>
  <si>
    <t>DCM Workshops</t>
  </si>
  <si>
    <t>GSR Schools</t>
  </si>
  <si>
    <t>Secretary</t>
  </si>
  <si>
    <t>Printing Area Structure &amp; Guidelines</t>
  </si>
  <si>
    <t>Treasurer</t>
  </si>
  <si>
    <t xml:space="preserve">ECR Conference </t>
  </si>
  <si>
    <t>ECR Forum</t>
  </si>
  <si>
    <t>Delegate/Past Delegate Conference</t>
  </si>
  <si>
    <t>Meeting Facilities</t>
  </si>
  <si>
    <t>Intl. Convention Hosp. Ste</t>
  </si>
  <si>
    <t>AV Equip.</t>
  </si>
  <si>
    <t>Total Operating Expenses</t>
  </si>
  <si>
    <t>Committee Expenses</t>
  </si>
  <si>
    <t>Archives</t>
  </si>
  <si>
    <t>Archives Storage</t>
  </si>
  <si>
    <t>Archivist</t>
  </si>
  <si>
    <t>CPC</t>
  </si>
  <si>
    <t>Corrections</t>
  </si>
  <si>
    <t>Corrections Literature/Tape</t>
  </si>
  <si>
    <t>Finance</t>
  </si>
  <si>
    <t>Grapevine</t>
  </si>
  <si>
    <t>Group Services</t>
  </si>
  <si>
    <t>Intergroup Liaison</t>
  </si>
  <si>
    <t>Literature Expenses</t>
  </si>
  <si>
    <t>Handout</t>
  </si>
  <si>
    <t>Public Information</t>
  </si>
  <si>
    <t>Public Information Literature</t>
  </si>
  <si>
    <t>Special Needs</t>
  </si>
  <si>
    <t>Treatment Facilities</t>
  </si>
  <si>
    <t>Website</t>
  </si>
  <si>
    <t>Ad Hoc Committees (3)</t>
  </si>
  <si>
    <t>Total Committee Expenses</t>
  </si>
  <si>
    <t>Total Area 23 Budget/Expenses</t>
  </si>
  <si>
    <t>AREA  23 APPROVED 2016 BUDGET</t>
  </si>
  <si>
    <t>Jan 1 - Jan 31, 2016</t>
  </si>
  <si>
    <t>Note: Grapevine Increased 400 for Anniv.</t>
  </si>
  <si>
    <t>Net</t>
  </si>
  <si>
    <t>Del/Past Del Conf-seed money</t>
  </si>
  <si>
    <t>Clifty payments</t>
  </si>
  <si>
    <t>Clifty Falls (expenses)</t>
  </si>
  <si>
    <t xml:space="preserve">   Literature purchases</t>
  </si>
  <si>
    <t>State Convention Excess</t>
  </si>
  <si>
    <t>Accessiblities</t>
  </si>
  <si>
    <t>Clifty Falls (deposit-bal due)</t>
  </si>
  <si>
    <t>Past Delegate Conference</t>
  </si>
  <si>
    <t>Del/Past Del Conf-expenses</t>
  </si>
  <si>
    <t>Ad Hoc Committees</t>
  </si>
  <si>
    <t>Estimated 2017 donations to use for estimating 2018 budget</t>
  </si>
  <si>
    <t>This is first year of tracking and reporting literature income + expense so guestimate of sales</t>
  </si>
  <si>
    <t>copies $50, Office renewal 4 cmtes $110, NSF (7@$12ea) $84, Ins $600, QB $480, stamps, supplies $50, McAfee $50, CPA review+990 $1500, PO Box $115, checks $50</t>
  </si>
  <si>
    <t>Based on CY2017</t>
  </si>
  <si>
    <t>Copies for Assemblies</t>
  </si>
  <si>
    <t>4 issues non-election yr, 500 copies of 2 sheets front+back stapled = $150/issue</t>
  </si>
  <si>
    <t>Replenish books, display materials for displays at area/district functions</t>
  </si>
  <si>
    <t>rent $800, literature $100, postage $20, supplies $200 (rounded to $1200)</t>
  </si>
  <si>
    <t>ASL interpretation $1300 ($25/wk), literature $300, workshop $200</t>
  </si>
  <si>
    <t>copies $40, ink jet home printer $80</t>
  </si>
  <si>
    <t>mailings, printing, etc (e.g., postage, McAfee)</t>
  </si>
  <si>
    <t>updates to computer, copier, etc., unforeseen costs for moving, committee to attend ECR Archives workshop; augment Archives cmte budget if needed</t>
  </si>
  <si>
    <t>Proposed budget $900 (but add $480 due to old cost paid until new move made? New = $75/mo)</t>
  </si>
  <si>
    <t>pamphlets + wkbks $40, copies $20, supplies $140, cmte member travel $200</t>
  </si>
  <si>
    <t>probable replacement of totes, calculator and maybe a folding cart</t>
  </si>
  <si>
    <t>hotel rent-2 night stays for delegate work $200, copies $600, supplies $100</t>
  </si>
  <si>
    <t>printing to give DCMs copies of group lists, misc office costs, laptop may need something?</t>
  </si>
  <si>
    <t>laptops+thumbdrives for presentations, gaffer tape+connectors, laptop for translation software and running PPTs, thumbdrives to loan to chairs to put presentations on</t>
  </si>
  <si>
    <t>literature $50, copies $100, supplies $100</t>
  </si>
  <si>
    <t>rent for workshops $100, literature for workshops $50, phone $540 (required by Guidelines)</t>
  </si>
  <si>
    <t>minimum requested by GSO for 2017</t>
  </si>
  <si>
    <t xml:space="preserve">          no details provided for budget</t>
  </si>
  <si>
    <t xml:space="preserve">          this is first year tracking literature sales+purchases</t>
  </si>
  <si>
    <t>January 1, 2018 - December 31, 2018</t>
  </si>
  <si>
    <t>Area 23 BUDGET DETAILS</t>
  </si>
  <si>
    <t>Prudent reserve (9 months)</t>
  </si>
  <si>
    <t>Supplies</t>
  </si>
  <si>
    <t>PI Literature pack (P-72) + other literature for display $225, AA pocket folders (M-54) $50, Plastic brochure holders $100</t>
  </si>
  <si>
    <t>Books, literature</t>
  </si>
  <si>
    <t>Rent - spring workshop $100, supplies (for workshop) $100</t>
  </si>
  <si>
    <t>Supplies $60, Natl Archives Workshop (1/2 travel-room+registration) $275</t>
  </si>
  <si>
    <t>AV Committee</t>
  </si>
  <si>
    <t>Printing/copies $50</t>
  </si>
  <si>
    <t>Items in bold are items approved per the structure but not included in requested budgets</t>
  </si>
  <si>
    <t>Area 23 not hosting the conference in 2019</t>
  </si>
  <si>
    <t>Feb $400, Apr $400, May (June) $400, Aug $400, Nov $400.  Budgeted amounts include rent, food, supplies, etc.  Oct $500 covered in Clifty expenses.</t>
  </si>
  <si>
    <t>Rent (base $15/mo + add-ins $15/mo) - includes WordPress, security, unlimited emails, support $360, unforeseen costs (est) $140</t>
  </si>
  <si>
    <t>APPROVED 11-18-18</t>
  </si>
  <si>
    <t>BUDGET</t>
  </si>
  <si>
    <t>Based on 2018: 4 issues non-election yr @ $138 ea; + $48 for 5th/election edition</t>
  </si>
  <si>
    <t xml:space="preserve">copies $50, Office renewal 4 cmtes $110, NSF (7@$12ea) $84, Ins $750, QB $720, stamps, supplies $50, McAfee $90, PO Box $115, </t>
  </si>
  <si>
    <t>Structure + Guidelines (50 pages * 250 copies * .05 = $625)</t>
  </si>
  <si>
    <t>Printing/copies $150, supplies $40</t>
  </si>
  <si>
    <t>Rent (special committee meetings) $585, printing/copies (ink, paper) $25</t>
  </si>
  <si>
    <t>Covers travel for Area Officers and Area Committee Chairs to conduct Area 23 business.</t>
  </si>
  <si>
    <t>Minimum payment to GSO for General Service Conference unknown at time of setting budget ($1600 in 2018).</t>
  </si>
  <si>
    <t>Mailings, printing/copies est $625 (20 pages * 125 * 5 * .05 = $625)</t>
  </si>
  <si>
    <t>Delegate (two nights hotel $200, per diem $60); Chair $400, Alt Delegate $325</t>
  </si>
  <si>
    <t>Microsoft Surface Pro 4 $450, thumb drives for presentations (loan to chairs), gaffer tape, microphone cable, general audio replacements $200, Shure wireless microphone system with 2 mics $700, projector screen replacement $150</t>
  </si>
  <si>
    <t>Rent for workshop $100, printing $70, supplies $80, Natl Archives Workshop (1/2 travel-room+registration), shredding, disposal of filing cabinets/electronics, portable lights for repository $400</t>
  </si>
  <si>
    <t>Rent for new repository space</t>
  </si>
  <si>
    <t>Workshop registrations $1000 (GSO requests we attend 3), postage $20, printing $50, supplies $50</t>
  </si>
  <si>
    <t>No budget needed</t>
  </si>
  <si>
    <t>Printing/copies $25, Supplies for workshop $25</t>
  </si>
  <si>
    <t>Display material $25; supplies/books $75</t>
  </si>
  <si>
    <t>One workshop held each year</t>
  </si>
  <si>
    <t>Rent for committee meetings, workshops, etc $75, Printing/copies $75, postage $50, supplies $50</t>
  </si>
  <si>
    <t>Rent for workshops $100, literature for workshops $50</t>
  </si>
  <si>
    <t>Minimum amount for supplies, rent, etc</t>
  </si>
  <si>
    <t>Revenue received from sale of literature at cost</t>
  </si>
  <si>
    <t>Momentos for GSC $100, printing $500</t>
  </si>
  <si>
    <t>Rent and printing $250</t>
  </si>
  <si>
    <t>$400 each for Chair, Delegate and Alt Delegate</t>
  </si>
  <si>
    <t>$400 each - delegate, alternate delegate, immediate past delegate</t>
  </si>
  <si>
    <t>Estimated cost for re-stocking inventory to sell (breakeven)</t>
  </si>
  <si>
    <t>Estimated 2018 donations to use for estimating 2019 budget</t>
  </si>
  <si>
    <t>AMOUNT REMAINING</t>
  </si>
  <si>
    <t>% USED</t>
  </si>
  <si>
    <t>Area 23 TREASURER REPORT</t>
  </si>
  <si>
    <t>Literature Purchases</t>
  </si>
  <si>
    <t>January 1, 2019 to November 14, 2019</t>
  </si>
  <si>
    <t>add $3329.16 to deposit as of 11/15/19</t>
  </si>
  <si>
    <t>2019 BUDGET</t>
  </si>
  <si>
    <t>ACTUAL thru 11/14/19</t>
  </si>
  <si>
    <t>2020 BUDGET</t>
  </si>
  <si>
    <t>2020 BUDGET REQUESTED</t>
  </si>
  <si>
    <t>DETAILS</t>
  </si>
  <si>
    <t>AS OF</t>
  </si>
  <si>
    <t>This is amount to match income (net $0)</t>
  </si>
  <si>
    <t>Clifty registration will be set after Program + Registrar chosen</t>
  </si>
  <si>
    <t>estimated</t>
  </si>
  <si>
    <t>estimated based on estimated purchases</t>
  </si>
  <si>
    <t>CY18 = $8,333</t>
  </si>
  <si>
    <t>Alt Area Chair</t>
  </si>
  <si>
    <t>$200 travel (included above)</t>
  </si>
  <si>
    <t xml:space="preserve">$200 travel (above); $100 printing; </t>
  </si>
  <si>
    <t>$500 travel (for hotel so not above); $100 supplies</t>
  </si>
  <si>
    <t>$300 travel (above); $200 printing;</t>
  </si>
  <si>
    <t>$125 travel (above); $100 rent; $100 supplies</t>
  </si>
  <si>
    <t xml:space="preserve">$360 travel (above); $775 printing; $275 trinkets for GSC + $125?; </t>
  </si>
  <si>
    <t>travel only</t>
  </si>
  <si>
    <t>est 500 copies 4 pgs (front/back) stapled by printer ($248.15 ea)</t>
  </si>
  <si>
    <t>not in 2020</t>
  </si>
  <si>
    <t>this line to be removed in 2020</t>
  </si>
  <si>
    <t>$500 carries over from prior year</t>
  </si>
  <si>
    <t>Not yet budgeted $6,045 based on CY2019 budget</t>
  </si>
  <si>
    <t>CY2018 = $27,068; CY2017 = $22,947</t>
  </si>
  <si>
    <t xml:space="preserve">Clifty costs will be included in setting registration  fee </t>
  </si>
  <si>
    <t>GSR Workshops</t>
  </si>
  <si>
    <t>$400 (in Travel Expense section) + $300( GSR/DCM Workshop expenses)</t>
  </si>
  <si>
    <t>Possible computer concerns, need incoming Secretary to review; provide financial request in future if needed.</t>
  </si>
  <si>
    <t>$110 MS Office (for ALL 5 Area laptops); $80 printing; $176 PO Box; $40 supplies; $840 QUICKBOOKS; $110 McAfee (Protection for each computer); $775 insurance; $96 NSF (est 8 @ $12 ea)</t>
  </si>
  <si>
    <t>this includes hotel and meals (mileage above) ($450/3 people)</t>
  </si>
  <si>
    <t xml:space="preserve">$300 travel (above); $200 gaffers tape, batteries, mic stand replacement; </t>
  </si>
  <si>
    <t>$275 (Annual National Archives Conference) +  $25 Misc Supplies</t>
  </si>
  <si>
    <t xml:space="preserve">$800 rent (fee for the booths for Prof Conf); $100 (Literature); $20 (Postage); $200 (Supplies)  </t>
  </si>
  <si>
    <t>$1000 (Big Book/Corrections pamphlets)</t>
  </si>
  <si>
    <t>$50 (Misc. Supplies)</t>
  </si>
  <si>
    <t>$100 (Additional Literature)--*these will be sold, and then the funds will be replenished back into the Area funds as asset)</t>
  </si>
  <si>
    <t xml:space="preserve">$900 travel (above)=four intergroup monthly meetings; $100 rent; $25 printing; </t>
  </si>
  <si>
    <t xml:space="preserve">$618 travel (above); $75 rent; $75 printing; $50 postage; $50 supplies; </t>
  </si>
  <si>
    <t>$225 cmte member packets + misc literature</t>
  </si>
  <si>
    <t>ASL interpreters ($110 * 28 = $3080); $260 replace literature</t>
  </si>
  <si>
    <t>$100 (workshops) $50 (literature) No longer have the "batphone"</t>
  </si>
  <si>
    <t>WebMaster</t>
  </si>
  <si>
    <t xml:space="preserve">$168 rent; $132 misc fees (Possible add-ins:  extra fee for expendatures:  domain name$108, hosting the website $20) </t>
  </si>
  <si>
    <t>$500 travel (if not Area Cmte); $300 rent; $50 printing (flyers/agendas, etc)</t>
  </si>
  <si>
    <t>$100 workshop $70 printing, $80 Supplies, $275 (Annual National Archives Conference) $110 McAfee</t>
  </si>
  <si>
    <t>none needed (per Beth) $110 McAfee</t>
  </si>
  <si>
    <t>No additional funds needed; $110 McAfee</t>
  </si>
  <si>
    <t>$800 Yearly (12 months paid=1 mth free)</t>
  </si>
  <si>
    <t>$300 in travel (above); $50 copies; $25 supplies (Hotel fee $400)</t>
  </si>
  <si>
    <t>Requestd $5000 above GSO recommended 2019 contribution total of $2000 (Motioned for $4,000.00)  Total expense for Delegate to attend is apprx  $8,000.</t>
  </si>
  <si>
    <t>Cash balance a 11/17/19</t>
  </si>
  <si>
    <t>Area 23 CY2020 BUDGET - APPROVED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</si>
</sst>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double">
        <color rgb="FF7F7F7F"/>
      </top>
      <bottom style="double">
        <color rgb="FF7F7F7F"/>
      </bottom>
      <diagonal/>
    </border>
    <border>
      <left/>
      <right/>
      <top/>
      <bottom style="double">
        <color rgb="FF7F7F7F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44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6">
    <xf numFmtId="0" fontId="0" fillId="0" borderId="0" xfId="0"/>
    <xf numFmtId="0" fontId="3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/>
    </xf>
    <xf numFmtId="3" fontId="0" fillId="0" borderId="0" xfId="0" applyNumberFormat="1" applyAlignment="1"/>
    <xf numFmtId="0" fontId="3" fillId="0" borderId="0" xfId="0" applyFont="1" applyAlignment="1">
      <alignment horizontal="right" wrapText="1"/>
    </xf>
    <xf numFmtId="164" fontId="3" fillId="0" borderId="2" xfId="0" applyNumberFormat="1" applyFont="1" applyBorder="1" applyAlignment="1"/>
    <xf numFmtId="0" fontId="3" fillId="0" borderId="8" xfId="0" applyFont="1" applyBorder="1" applyAlignment="1">
      <alignment horizontal="center"/>
    </xf>
    <xf numFmtId="164" fontId="0" fillId="0" borderId="0" xfId="0" applyNumberFormat="1"/>
    <xf numFmtId="164" fontId="3" fillId="0" borderId="2" xfId="0" applyNumberFormat="1" applyFont="1" applyBorder="1"/>
    <xf numFmtId="40" fontId="7" fillId="0" borderId="10" xfId="2" applyNumberFormat="1" applyFont="1" applyFill="1" applyBorder="1" applyAlignment="1">
      <alignment horizontal="right"/>
    </xf>
    <xf numFmtId="40" fontId="4" fillId="0" borderId="9" xfId="2" applyNumberFormat="1" applyFont="1" applyFill="1" applyBorder="1" applyAlignment="1">
      <alignment horizontal="right"/>
    </xf>
    <xf numFmtId="4" fontId="0" fillId="0" borderId="0" xfId="0" applyNumberFormat="1"/>
    <xf numFmtId="4" fontId="3" fillId="0" borderId="7" xfId="0" applyNumberFormat="1" applyFont="1" applyBorder="1" applyAlignment="1">
      <alignment horizontal="center"/>
    </xf>
    <xf numFmtId="4" fontId="3" fillId="0" borderId="0" xfId="0" applyNumberFormat="1" applyFont="1"/>
    <xf numFmtId="4" fontId="0" fillId="0" borderId="0" xfId="1" applyNumberFormat="1" applyFont="1" applyAlignment="1">
      <alignment vertical="top"/>
    </xf>
    <xf numFmtId="4" fontId="0" fillId="0" borderId="0" xfId="1" applyNumberFormat="1" applyFont="1" applyAlignment="1"/>
    <xf numFmtId="4" fontId="3" fillId="0" borderId="2" xfId="0" applyNumberFormat="1" applyFont="1" applyBorder="1" applyAlignment="1"/>
    <xf numFmtId="4" fontId="0" fillId="0" borderId="0" xfId="0" applyNumberFormat="1" applyAlignment="1"/>
    <xf numFmtId="4" fontId="3" fillId="0" borderId="2" xfId="0" applyNumberFormat="1" applyFont="1" applyBorder="1"/>
    <xf numFmtId="40" fontId="7" fillId="0" borderId="0" xfId="2" applyNumberFormat="1" applyFont="1" applyFill="1" applyBorder="1" applyAlignment="1">
      <alignment horizontal="right"/>
    </xf>
    <xf numFmtId="43" fontId="0" fillId="0" borderId="0" xfId="4" applyFont="1"/>
    <xf numFmtId="3" fontId="0" fillId="0" borderId="11" xfId="0" applyNumberFormat="1" applyFill="1" applyBorder="1"/>
    <xf numFmtId="3" fontId="0" fillId="0" borderId="2" xfId="0" applyNumberFormat="1" applyFill="1" applyBorder="1"/>
    <xf numFmtId="3" fontId="0" fillId="0" borderId="0" xfId="0" applyNumberFormat="1" applyFill="1"/>
    <xf numFmtId="3" fontId="3" fillId="0" borderId="2" xfId="0" applyNumberFormat="1" applyFont="1" applyFill="1" applyBorder="1"/>
    <xf numFmtId="40" fontId="0" fillId="0" borderId="0" xfId="0" applyNumberFormat="1" applyFill="1"/>
    <xf numFmtId="40" fontId="3" fillId="0" borderId="6" xfId="0" applyNumberFormat="1" applyFont="1" applyFill="1" applyBorder="1" applyAlignment="1">
      <alignment horizontal="center"/>
    </xf>
    <xf numFmtId="40" fontId="3" fillId="0" borderId="0" xfId="0" applyNumberFormat="1" applyFont="1" applyFill="1"/>
    <xf numFmtId="40" fontId="0" fillId="0" borderId="0" xfId="1" applyNumberFormat="1" applyFont="1" applyFill="1" applyAlignment="1"/>
    <xf numFmtId="40" fontId="3" fillId="0" borderId="2" xfId="0" applyNumberFormat="1" applyFont="1" applyFill="1" applyBorder="1" applyAlignment="1"/>
    <xf numFmtId="40" fontId="0" fillId="0" borderId="0" xfId="0" applyNumberFormat="1" applyFill="1" applyAlignment="1"/>
    <xf numFmtId="40" fontId="3" fillId="0" borderId="2" xfId="0" applyNumberFormat="1" applyFont="1" applyFill="1" applyBorder="1"/>
    <xf numFmtId="43" fontId="0" fillId="0" borderId="0" xfId="4" applyFont="1" applyFill="1"/>
    <xf numFmtId="0" fontId="3" fillId="0" borderId="0" xfId="0" applyFont="1" applyAlignment="1">
      <alignment horizontal="center"/>
    </xf>
    <xf numFmtId="0" fontId="0" fillId="0" borderId="18" xfId="0" applyFont="1" applyBorder="1"/>
    <xf numFmtId="0" fontId="0" fillId="0" borderId="18" xfId="0" applyFont="1" applyBorder="1" applyAlignment="1">
      <alignment wrapText="1"/>
    </xf>
    <xf numFmtId="0" fontId="9" fillId="0" borderId="0" xfId="0" applyFont="1"/>
    <xf numFmtId="0" fontId="11" fillId="0" borderId="18" xfId="0" applyFont="1" applyBorder="1" applyAlignment="1">
      <alignment horizontal="left"/>
    </xf>
    <xf numFmtId="165" fontId="11" fillId="0" borderId="12" xfId="0" applyNumberFormat="1" applyFont="1" applyFill="1" applyBorder="1" applyAlignment="1">
      <alignment horizontal="center"/>
    </xf>
    <xf numFmtId="44" fontId="11" fillId="0" borderId="13" xfId="0" applyNumberFormat="1" applyFont="1" applyBorder="1" applyAlignment="1">
      <alignment horizontal="center"/>
    </xf>
    <xf numFmtId="0" fontId="9" fillId="0" borderId="18" xfId="0" applyFont="1" applyBorder="1"/>
    <xf numFmtId="165" fontId="9" fillId="0" borderId="14" xfId="0" applyNumberFormat="1" applyFont="1" applyBorder="1"/>
    <xf numFmtId="165" fontId="11" fillId="0" borderId="15" xfId="0" applyNumberFormat="1" applyFont="1" applyBorder="1"/>
    <xf numFmtId="0" fontId="9" fillId="0" borderId="14" xfId="0" applyFont="1" applyBorder="1"/>
    <xf numFmtId="165" fontId="11" fillId="0" borderId="14" xfId="0" applyNumberFormat="1" applyFont="1" applyFill="1" applyBorder="1"/>
    <xf numFmtId="0" fontId="11" fillId="0" borderId="0" xfId="0" applyFont="1"/>
    <xf numFmtId="165" fontId="9" fillId="0" borderId="14" xfId="1" applyNumberFormat="1" applyFont="1" applyFill="1" applyBorder="1" applyAlignment="1"/>
    <xf numFmtId="0" fontId="9" fillId="0" borderId="18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165" fontId="11" fillId="0" borderId="16" xfId="0" applyNumberFormat="1" applyFont="1" applyFill="1" applyBorder="1" applyAlignment="1"/>
    <xf numFmtId="0" fontId="9" fillId="0" borderId="18" xfId="0" applyFont="1" applyBorder="1" applyAlignment="1"/>
    <xf numFmtId="165" fontId="9" fillId="0" borderId="14" xfId="0" applyNumberFormat="1" applyFont="1" applyFill="1" applyBorder="1" applyAlignment="1"/>
    <xf numFmtId="0" fontId="11" fillId="0" borderId="18" xfId="0" applyFont="1" applyBorder="1" applyAlignment="1"/>
    <xf numFmtId="165" fontId="9" fillId="0" borderId="14" xfId="0" applyNumberFormat="1" applyFont="1" applyFill="1" applyBorder="1"/>
    <xf numFmtId="165" fontId="11" fillId="0" borderId="16" xfId="0" applyNumberFormat="1" applyFont="1" applyFill="1" applyBorder="1"/>
    <xf numFmtId="0" fontId="9" fillId="0" borderId="18" xfId="0" applyFont="1" applyBorder="1" applyAlignment="1">
      <alignment horizontal="left"/>
    </xf>
    <xf numFmtId="165" fontId="11" fillId="0" borderId="0" xfId="0" applyNumberFormat="1" applyFont="1"/>
    <xf numFmtId="44" fontId="9" fillId="0" borderId="14" xfId="0" applyNumberFormat="1" applyFont="1" applyBorder="1"/>
    <xf numFmtId="0" fontId="11" fillId="0" borderId="18" xfId="0" applyFont="1" applyBorder="1"/>
    <xf numFmtId="165" fontId="11" fillId="0" borderId="17" xfId="0" applyNumberFormat="1" applyFont="1" applyBorder="1"/>
    <xf numFmtId="165" fontId="11" fillId="0" borderId="14" xfId="0" applyNumberFormat="1" applyFont="1" applyBorder="1"/>
    <xf numFmtId="0" fontId="9" fillId="0" borderId="6" xfId="0" applyFont="1" applyBorder="1"/>
    <xf numFmtId="165" fontId="9" fillId="0" borderId="0" xfId="0" applyNumberFormat="1" applyFont="1"/>
    <xf numFmtId="0" fontId="12" fillId="0" borderId="18" xfId="0" applyFont="1" applyFill="1" applyBorder="1"/>
    <xf numFmtId="0" fontId="12" fillId="0" borderId="0" xfId="0" applyFont="1"/>
    <xf numFmtId="44" fontId="12" fillId="0" borderId="0" xfId="0" applyNumberFormat="1" applyFont="1"/>
    <xf numFmtId="165" fontId="12" fillId="0" borderId="0" xfId="0" applyNumberFormat="1" applyFont="1"/>
    <xf numFmtId="44" fontId="9" fillId="0" borderId="0" xfId="0" applyNumberFormat="1" applyFont="1"/>
    <xf numFmtId="165" fontId="0" fillId="0" borderId="14" xfId="1" applyNumberFormat="1" applyFont="1" applyFill="1" applyBorder="1" applyAlignment="1">
      <alignment wrapText="1"/>
    </xf>
    <xf numFmtId="165" fontId="0" fillId="0" borderId="16" xfId="1" applyNumberFormat="1" applyFont="1" applyFill="1" applyBorder="1" applyAlignment="1">
      <alignment wrapText="1"/>
    </xf>
    <xf numFmtId="165" fontId="11" fillId="0" borderId="12" xfId="0" applyNumberFormat="1" applyFont="1" applyFill="1" applyBorder="1" applyAlignment="1">
      <alignment horizontal="center" wrapText="1"/>
    </xf>
    <xf numFmtId="44" fontId="11" fillId="0" borderId="13" xfId="0" applyNumberFormat="1" applyFont="1" applyBorder="1" applyAlignment="1">
      <alignment horizontal="center" wrapText="1"/>
    </xf>
    <xf numFmtId="165" fontId="0" fillId="0" borderId="14" xfId="0" applyNumberFormat="1" applyFont="1" applyBorder="1" applyAlignment="1">
      <alignment wrapText="1"/>
    </xf>
    <xf numFmtId="165" fontId="9" fillId="0" borderId="14" xfId="0" applyNumberFormat="1" applyFont="1" applyBorder="1" applyAlignment="1">
      <alignment wrapText="1"/>
    </xf>
    <xf numFmtId="165" fontId="11" fillId="0" borderId="15" xfId="0" applyNumberFormat="1" applyFont="1" applyBorder="1" applyAlignment="1">
      <alignment wrapText="1"/>
    </xf>
    <xf numFmtId="0" fontId="9" fillId="0" borderId="14" xfId="0" applyFont="1" applyBorder="1" applyAlignment="1">
      <alignment wrapText="1"/>
    </xf>
    <xf numFmtId="165" fontId="11" fillId="0" borderId="14" xfId="0" applyNumberFormat="1" applyFont="1" applyFill="1" applyBorder="1" applyAlignment="1">
      <alignment wrapText="1"/>
    </xf>
    <xf numFmtId="165" fontId="0" fillId="0" borderId="19" xfId="1" applyNumberFormat="1" applyFont="1" applyFill="1" applyBorder="1" applyAlignment="1">
      <alignment wrapText="1"/>
    </xf>
    <xf numFmtId="165" fontId="9" fillId="0" borderId="19" xfId="1" applyNumberFormat="1" applyFont="1" applyFill="1" applyBorder="1" applyAlignment="1">
      <alignment wrapText="1"/>
    </xf>
    <xf numFmtId="165" fontId="11" fillId="0" borderId="16" xfId="0" applyNumberFormat="1" applyFont="1" applyFill="1" applyBorder="1" applyAlignment="1">
      <alignment wrapText="1"/>
    </xf>
    <xf numFmtId="165" fontId="9" fillId="0" borderId="14" xfId="0" applyNumberFormat="1" applyFont="1" applyFill="1" applyBorder="1" applyAlignment="1">
      <alignment wrapText="1"/>
    </xf>
    <xf numFmtId="165" fontId="0" fillId="0" borderId="16" xfId="0" applyNumberFormat="1" applyFont="1" applyFill="1" applyBorder="1" applyAlignment="1">
      <alignment wrapText="1"/>
    </xf>
    <xf numFmtId="44" fontId="9" fillId="0" borderId="14" xfId="0" applyNumberFormat="1" applyFont="1" applyBorder="1" applyAlignment="1">
      <alignment wrapText="1"/>
    </xf>
    <xf numFmtId="165" fontId="11" fillId="0" borderId="17" xfId="0" applyNumberFormat="1" applyFont="1" applyBorder="1" applyAlignment="1">
      <alignment wrapText="1"/>
    </xf>
    <xf numFmtId="165" fontId="11" fillId="0" borderId="14" xfId="0" applyNumberFormat="1" applyFont="1" applyBorder="1" applyAlignment="1">
      <alignment wrapText="1"/>
    </xf>
    <xf numFmtId="44" fontId="12" fillId="0" borderId="0" xfId="0" applyNumberFormat="1" applyFont="1" applyAlignment="1">
      <alignment wrapText="1"/>
    </xf>
    <xf numFmtId="44" fontId="9" fillId="0" borderId="0" xfId="0" applyNumberFormat="1" applyFont="1" applyAlignment="1">
      <alignment wrapText="1"/>
    </xf>
    <xf numFmtId="165" fontId="0" fillId="0" borderId="19" xfId="0" applyNumberFormat="1" applyFont="1" applyFill="1" applyBorder="1" applyAlignment="1">
      <alignment wrapText="1"/>
    </xf>
    <xf numFmtId="165" fontId="12" fillId="0" borderId="16" xfId="0" applyNumberFormat="1" applyFont="1" applyFill="1" applyBorder="1" applyAlignment="1">
      <alignment wrapText="1"/>
    </xf>
    <xf numFmtId="165" fontId="3" fillId="0" borderId="12" xfId="0" applyNumberFormat="1" applyFont="1" applyFill="1" applyBorder="1" applyAlignment="1">
      <alignment horizontal="center"/>
    </xf>
    <xf numFmtId="165" fontId="14" fillId="0" borderId="12" xfId="0" applyNumberFormat="1" applyFont="1" applyFill="1" applyBorder="1" applyAlignment="1">
      <alignment horizontal="center" wrapText="1"/>
    </xf>
    <xf numFmtId="44" fontId="14" fillId="0" borderId="13" xfId="0" applyNumberFormat="1" applyFont="1" applyBorder="1" applyAlignment="1">
      <alignment horizontal="center" wrapText="1"/>
    </xf>
    <xf numFmtId="165" fontId="13" fillId="0" borderId="14" xfId="0" applyNumberFormat="1" applyFont="1" applyBorder="1" applyAlignment="1">
      <alignment wrapText="1"/>
    </xf>
    <xf numFmtId="165" fontId="14" fillId="0" borderId="15" xfId="0" applyNumberFormat="1" applyFont="1" applyBorder="1" applyAlignment="1">
      <alignment wrapText="1"/>
    </xf>
    <xf numFmtId="0" fontId="13" fillId="0" borderId="14" xfId="0" applyFont="1" applyBorder="1" applyAlignment="1">
      <alignment wrapText="1"/>
    </xf>
    <xf numFmtId="165" fontId="13" fillId="0" borderId="19" xfId="1" applyNumberFormat="1" applyFont="1" applyFill="1" applyBorder="1" applyAlignment="1">
      <alignment wrapText="1"/>
    </xf>
    <xf numFmtId="165" fontId="14" fillId="0" borderId="16" xfId="0" applyNumberFormat="1" applyFont="1" applyFill="1" applyBorder="1" applyAlignment="1">
      <alignment wrapText="1"/>
    </xf>
    <xf numFmtId="165" fontId="13" fillId="0" borderId="14" xfId="0" applyNumberFormat="1" applyFont="1" applyFill="1" applyBorder="1" applyAlignment="1">
      <alignment wrapText="1"/>
    </xf>
    <xf numFmtId="44" fontId="13" fillId="0" borderId="14" xfId="0" applyNumberFormat="1" applyFont="1" applyBorder="1" applyAlignment="1">
      <alignment wrapText="1"/>
    </xf>
    <xf numFmtId="165" fontId="14" fillId="0" borderId="17" xfId="0" applyNumberFormat="1" applyFont="1" applyBorder="1" applyAlignment="1">
      <alignment wrapText="1"/>
    </xf>
    <xf numFmtId="165" fontId="14" fillId="0" borderId="14" xfId="0" applyNumberFormat="1" applyFont="1" applyBorder="1" applyAlignment="1">
      <alignment wrapText="1"/>
    </xf>
    <xf numFmtId="44" fontId="15" fillId="0" borderId="0" xfId="0" applyNumberFormat="1" applyFont="1" applyAlignment="1">
      <alignment wrapText="1"/>
    </xf>
    <xf numFmtId="44" fontId="13" fillId="0" borderId="0" xfId="0" applyNumberFormat="1" applyFont="1" applyAlignment="1">
      <alignment wrapText="1"/>
    </xf>
    <xf numFmtId="165" fontId="7" fillId="0" borderId="14" xfId="0" applyNumberFormat="1" applyFont="1" applyBorder="1" applyAlignment="1">
      <alignment wrapText="1"/>
    </xf>
    <xf numFmtId="165" fontId="7" fillId="0" borderId="19" xfId="1" applyNumberFormat="1" applyFont="1" applyFill="1" applyBorder="1" applyAlignment="1">
      <alignment wrapText="1"/>
    </xf>
    <xf numFmtId="165" fontId="7" fillId="0" borderId="16" xfId="0" applyNumberFormat="1" applyFont="1" applyFill="1" applyBorder="1" applyAlignment="1">
      <alignment wrapText="1"/>
    </xf>
    <xf numFmtId="165" fontId="7" fillId="0" borderId="19" xfId="0" applyNumberFormat="1" applyFont="1" applyFill="1" applyBorder="1" applyAlignment="1">
      <alignment wrapText="1"/>
    </xf>
    <xf numFmtId="165" fontId="7" fillId="0" borderId="16" xfId="1" applyNumberFormat="1" applyFont="1" applyFill="1" applyBorder="1" applyAlignment="1">
      <alignment wrapText="1"/>
    </xf>
    <xf numFmtId="165" fontId="7" fillId="0" borderId="14" xfId="1" applyNumberFormat="1" applyFont="1" applyFill="1" applyBorder="1" applyAlignment="1">
      <alignment wrapText="1"/>
    </xf>
    <xf numFmtId="165" fontId="16" fillId="0" borderId="14" xfId="0" applyNumberFormat="1" applyFont="1" applyFill="1" applyBorder="1" applyAlignment="1">
      <alignment horizontal="center" wrapText="1"/>
    </xf>
    <xf numFmtId="44" fontId="9" fillId="0" borderId="20" xfId="0" applyNumberFormat="1" applyFont="1" applyBorder="1"/>
    <xf numFmtId="44" fontId="13" fillId="0" borderId="20" xfId="0" applyNumberFormat="1" applyFont="1" applyBorder="1" applyAlignment="1">
      <alignment wrapText="1"/>
    </xf>
    <xf numFmtId="0" fontId="11" fillId="0" borderId="3" xfId="0" applyFont="1" applyBorder="1" applyAlignment="1">
      <alignment horizontal="left"/>
    </xf>
    <xf numFmtId="165" fontId="4" fillId="0" borderId="21" xfId="0" applyNumberFormat="1" applyFont="1" applyFill="1" applyBorder="1" applyAlignment="1">
      <alignment horizontal="center" wrapText="1"/>
    </xf>
    <xf numFmtId="165" fontId="3" fillId="0" borderId="22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left"/>
    </xf>
    <xf numFmtId="165" fontId="11" fillId="0" borderId="18" xfId="0" applyNumberFormat="1" applyFont="1" applyFill="1" applyBorder="1"/>
    <xf numFmtId="165" fontId="9" fillId="0" borderId="18" xfId="1" applyNumberFormat="1" applyFont="1" applyFill="1" applyBorder="1" applyAlignment="1"/>
    <xf numFmtId="44" fontId="11" fillId="0" borderId="3" xfId="0" applyNumberFormat="1" applyFont="1" applyBorder="1" applyAlignment="1">
      <alignment horizontal="center"/>
    </xf>
    <xf numFmtId="165" fontId="9" fillId="0" borderId="18" xfId="0" applyNumberFormat="1" applyFont="1" applyBorder="1"/>
    <xf numFmtId="165" fontId="11" fillId="0" borderId="23" xfId="0" applyNumberFormat="1" applyFont="1" applyBorder="1"/>
    <xf numFmtId="0" fontId="9" fillId="0" borderId="13" xfId="0" applyFont="1" applyBorder="1"/>
    <xf numFmtId="9" fontId="1" fillId="0" borderId="14" xfId="0" applyNumberFormat="1" applyFont="1" applyBorder="1"/>
    <xf numFmtId="9" fontId="1" fillId="0" borderId="19" xfId="0" applyNumberFormat="1" applyFont="1" applyBorder="1"/>
    <xf numFmtId="0" fontId="9" fillId="0" borderId="20" xfId="0" applyFont="1" applyBorder="1"/>
    <xf numFmtId="165" fontId="7" fillId="0" borderId="14" xfId="0" applyNumberFormat="1" applyFont="1" applyFill="1" applyBorder="1" applyAlignment="1">
      <alignment wrapText="1"/>
    </xf>
    <xf numFmtId="165" fontId="13" fillId="0" borderId="14" xfId="1" applyNumberFormat="1" applyFont="1" applyFill="1" applyBorder="1" applyAlignment="1">
      <alignment wrapText="1"/>
    </xf>
    <xf numFmtId="0" fontId="11" fillId="0" borderId="14" xfId="0" applyFont="1" applyBorder="1"/>
    <xf numFmtId="165" fontId="9" fillId="0" borderId="19" xfId="0" applyNumberFormat="1" applyFont="1" applyBorder="1"/>
    <xf numFmtId="165" fontId="9" fillId="0" borderId="18" xfId="0" applyNumberFormat="1" applyFont="1" applyFill="1" applyBorder="1"/>
    <xf numFmtId="165" fontId="9" fillId="0" borderId="18" xfId="0" applyNumberFormat="1" applyFont="1" applyFill="1" applyBorder="1" applyAlignment="1"/>
    <xf numFmtId="165" fontId="13" fillId="0" borderId="19" xfId="0" applyNumberFormat="1" applyFont="1" applyFill="1" applyBorder="1" applyAlignment="1">
      <alignment wrapText="1"/>
    </xf>
    <xf numFmtId="0" fontId="9" fillId="0" borderId="16" xfId="0" applyFont="1" applyBorder="1"/>
    <xf numFmtId="0" fontId="9" fillId="0" borderId="17" xfId="0" applyFont="1" applyBorder="1"/>
    <xf numFmtId="0" fontId="11" fillId="0" borderId="17" xfId="0" applyFont="1" applyBorder="1"/>
    <xf numFmtId="165" fontId="4" fillId="0" borderId="15" xfId="0" applyNumberFormat="1" applyFont="1" applyBorder="1" applyAlignment="1">
      <alignment wrapText="1"/>
    </xf>
    <xf numFmtId="165" fontId="4" fillId="0" borderId="19" xfId="0" applyNumberFormat="1" applyFont="1" applyFill="1" applyBorder="1" applyAlignment="1">
      <alignment wrapText="1"/>
    </xf>
    <xf numFmtId="165" fontId="4" fillId="0" borderId="17" xfId="0" applyNumberFormat="1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9" fontId="3" fillId="0" borderId="19" xfId="0" applyNumberFormat="1" applyFont="1" applyBorder="1"/>
    <xf numFmtId="165" fontId="3" fillId="0" borderId="16" xfId="0" applyNumberFormat="1" applyFont="1" applyBorder="1"/>
    <xf numFmtId="165" fontId="3" fillId="0" borderId="14" xfId="0" applyNumberFormat="1" applyFont="1" applyBorder="1"/>
    <xf numFmtId="9" fontId="3" fillId="0" borderId="15" xfId="0" applyNumberFormat="1" applyFont="1" applyBorder="1"/>
    <xf numFmtId="165" fontId="3" fillId="0" borderId="24" xfId="0" applyNumberFormat="1" applyFont="1" applyBorder="1"/>
    <xf numFmtId="9" fontId="1" fillId="0" borderId="14" xfId="5" applyFont="1" applyBorder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10" fillId="0" borderId="0" xfId="0" quotePrefix="1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9" fillId="0" borderId="0" xfId="0" applyFont="1" applyBorder="1"/>
    <xf numFmtId="165" fontId="9" fillId="0" borderId="0" xfId="0" applyNumberFormat="1" applyFont="1" applyBorder="1"/>
    <xf numFmtId="165" fontId="3" fillId="0" borderId="0" xfId="0" applyNumberFormat="1" applyFont="1" applyBorder="1"/>
    <xf numFmtId="0" fontId="11" fillId="0" borderId="0" xfId="0" applyFont="1" applyBorder="1"/>
    <xf numFmtId="165" fontId="11" fillId="0" borderId="0" xfId="0" applyNumberFormat="1" applyFont="1" applyBorder="1"/>
    <xf numFmtId="165" fontId="9" fillId="3" borderId="0" xfId="0" applyNumberFormat="1" applyFont="1" applyFill="1" applyBorder="1"/>
    <xf numFmtId="0" fontId="17" fillId="0" borderId="0" xfId="0" applyFont="1" applyBorder="1" applyAlignment="1">
      <alignment horizontal="center"/>
    </xf>
    <xf numFmtId="165" fontId="3" fillId="0" borderId="25" xfId="0" applyNumberFormat="1" applyFont="1" applyFill="1" applyBorder="1" applyAlignment="1">
      <alignment horizontal="center"/>
    </xf>
    <xf numFmtId="44" fontId="14" fillId="0" borderId="14" xfId="0" applyNumberFormat="1" applyFont="1" applyBorder="1" applyAlignment="1">
      <alignment horizontal="center" wrapText="1"/>
    </xf>
    <xf numFmtId="165" fontId="4" fillId="0" borderId="12" xfId="0" applyNumberFormat="1" applyFont="1" applyFill="1" applyBorder="1" applyAlignment="1">
      <alignment horizontal="center" wrapText="1"/>
    </xf>
    <xf numFmtId="165" fontId="3" fillId="0" borderId="12" xfId="0" applyNumberFormat="1" applyFont="1" applyFill="1" applyBorder="1" applyAlignment="1">
      <alignment horizontal="center" wrapText="1"/>
    </xf>
    <xf numFmtId="165" fontId="7" fillId="4" borderId="14" xfId="0" applyNumberFormat="1" applyFont="1" applyFill="1" applyBorder="1" applyAlignment="1">
      <alignment wrapText="1"/>
    </xf>
    <xf numFmtId="165" fontId="13" fillId="0" borderId="0" xfId="0" applyNumberFormat="1" applyFont="1" applyAlignment="1">
      <alignment wrapText="1"/>
    </xf>
    <xf numFmtId="165" fontId="7" fillId="0" borderId="17" xfId="0" applyNumberFormat="1" applyFont="1" applyBorder="1" applyAlignment="1">
      <alignment wrapText="1"/>
    </xf>
    <xf numFmtId="165" fontId="7" fillId="0" borderId="18" xfId="0" applyNumberFormat="1" applyFont="1" applyFill="1" applyBorder="1" applyAlignment="1">
      <alignment wrapText="1"/>
    </xf>
    <xf numFmtId="165" fontId="3" fillId="0" borderId="25" xfId="0" applyNumberFormat="1" applyFont="1" applyFill="1" applyBorder="1" applyAlignment="1">
      <alignment horizontal="center" wrapText="1"/>
    </xf>
    <xf numFmtId="44" fontId="14" fillId="0" borderId="3" xfId="0" applyNumberFormat="1" applyFont="1" applyBorder="1" applyAlignment="1">
      <alignment horizontal="center" wrapText="1"/>
    </xf>
    <xf numFmtId="165" fontId="7" fillId="0" borderId="18" xfId="0" applyNumberFormat="1" applyFont="1" applyBorder="1" applyAlignment="1">
      <alignment wrapText="1"/>
    </xf>
    <xf numFmtId="165" fontId="13" fillId="0" borderId="18" xfId="0" applyNumberFormat="1" applyFont="1" applyBorder="1" applyAlignment="1">
      <alignment wrapText="1"/>
    </xf>
    <xf numFmtId="165" fontId="4" fillId="0" borderId="23" xfId="0" applyNumberFormat="1" applyFont="1" applyBorder="1" applyAlignment="1">
      <alignment wrapText="1"/>
    </xf>
    <xf numFmtId="0" fontId="13" fillId="0" borderId="18" xfId="0" applyFont="1" applyBorder="1" applyAlignment="1">
      <alignment wrapText="1"/>
    </xf>
    <xf numFmtId="165" fontId="16" fillId="0" borderId="18" xfId="0" applyNumberFormat="1" applyFont="1" applyFill="1" applyBorder="1" applyAlignment="1">
      <alignment horizontal="center" wrapText="1"/>
    </xf>
    <xf numFmtId="165" fontId="7" fillId="0" borderId="18" xfId="1" applyNumberFormat="1" applyFont="1" applyFill="1" applyBorder="1" applyAlignment="1">
      <alignment wrapText="1"/>
    </xf>
    <xf numFmtId="165" fontId="7" fillId="4" borderId="18" xfId="0" applyNumberFormat="1" applyFont="1" applyFill="1" applyBorder="1" applyAlignment="1">
      <alignment wrapText="1"/>
    </xf>
    <xf numFmtId="165" fontId="7" fillId="0" borderId="26" xfId="1" applyNumberFormat="1" applyFont="1" applyFill="1" applyBorder="1" applyAlignment="1">
      <alignment wrapText="1"/>
    </xf>
    <xf numFmtId="165" fontId="4" fillId="0" borderId="26" xfId="0" applyNumberFormat="1" applyFont="1" applyFill="1" applyBorder="1" applyAlignment="1">
      <alignment wrapText="1"/>
    </xf>
    <xf numFmtId="165" fontId="13" fillId="0" borderId="18" xfId="0" applyNumberFormat="1" applyFont="1" applyFill="1" applyBorder="1" applyAlignment="1">
      <alignment wrapText="1"/>
    </xf>
    <xf numFmtId="165" fontId="13" fillId="0" borderId="26" xfId="0" applyNumberFormat="1" applyFont="1" applyFill="1" applyBorder="1" applyAlignment="1">
      <alignment wrapText="1"/>
    </xf>
    <xf numFmtId="165" fontId="18" fillId="0" borderId="14" xfId="0" applyNumberFormat="1" applyFont="1" applyBorder="1" applyAlignment="1">
      <alignment wrapText="1"/>
    </xf>
    <xf numFmtId="165" fontId="7" fillId="5" borderId="14" xfId="0" applyNumberFormat="1" applyFont="1" applyFill="1" applyBorder="1" applyAlignment="1">
      <alignment wrapText="1"/>
    </xf>
    <xf numFmtId="165" fontId="7" fillId="5" borderId="19" xfId="1" applyNumberFormat="1" applyFont="1" applyFill="1" applyBorder="1" applyAlignment="1">
      <alignment wrapText="1"/>
    </xf>
    <xf numFmtId="165" fontId="7" fillId="5" borderId="18" xfId="0" applyNumberFormat="1" applyFont="1" applyFill="1" applyBorder="1" applyAlignment="1">
      <alignment wrapText="1"/>
    </xf>
    <xf numFmtId="165" fontId="4" fillId="6" borderId="17" xfId="0" applyNumberFormat="1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4" fontId="10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10" fillId="0" borderId="7" xfId="0" quotePrefix="1" applyNumberFormat="1" applyFont="1" applyBorder="1" applyAlignment="1">
      <alignment horizontal="center"/>
    </xf>
    <xf numFmtId="14" fontId="10" fillId="0" borderId="0" xfId="0" quotePrefix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6">
    <cellStyle name="Calculation" xfId="2" builtinId="22"/>
    <cellStyle name="Comma" xfId="4" builtinId="3"/>
    <cellStyle name="Currency" xfId="1" builtinId="4"/>
    <cellStyle name="Normal" xfId="0" builtinId="0"/>
    <cellStyle name="Percent" xfId="5" builtinId="5"/>
    <cellStyle name="Style 1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4"/>
  <sheetViews>
    <sheetView topLeftCell="A2" workbookViewId="0">
      <selection sqref="A1:C1"/>
    </sheetView>
  </sheetViews>
  <sheetFormatPr defaultColWidth="9.109375" defaultRowHeight="14.4" x14ac:dyDescent="0.3"/>
  <cols>
    <col min="1" max="1" width="27.44140625" style="39" customWidth="1"/>
    <col min="2" max="2" width="10.33203125" style="70" bestFit="1" customWidth="1"/>
    <col min="3" max="3" width="94.33203125" style="89" customWidth="1"/>
    <col min="4" max="4" width="46.88671875" style="39" customWidth="1"/>
    <col min="5" max="5" width="10.109375" style="39" bestFit="1" customWidth="1"/>
    <col min="6" max="16384" width="9.109375" style="39"/>
  </cols>
  <sheetData>
    <row r="1" spans="1:4" ht="25.8" x14ac:dyDescent="0.5">
      <c r="A1" s="189" t="s">
        <v>87</v>
      </c>
      <c r="B1" s="189"/>
      <c r="C1" s="189"/>
    </row>
    <row r="2" spans="1:4" ht="18" x14ac:dyDescent="0.35">
      <c r="A2" s="186" t="s">
        <v>86</v>
      </c>
      <c r="B2" s="187"/>
      <c r="C2" s="187"/>
    </row>
    <row r="3" spans="1:4" ht="18.600000000000001" thickBot="1" x14ac:dyDescent="0.4">
      <c r="A3" s="188"/>
      <c r="B3" s="188"/>
      <c r="C3" s="188"/>
    </row>
    <row r="4" spans="1:4" ht="15" thickBot="1" x14ac:dyDescent="0.35">
      <c r="A4" s="40"/>
      <c r="B4" s="41" t="s">
        <v>9</v>
      </c>
      <c r="C4" s="73"/>
    </row>
    <row r="5" spans="1:4" x14ac:dyDescent="0.3">
      <c r="A5" s="40" t="s">
        <v>0</v>
      </c>
      <c r="B5" s="42"/>
      <c r="C5" s="74"/>
    </row>
    <row r="6" spans="1:4" x14ac:dyDescent="0.3">
      <c r="A6" s="43" t="s">
        <v>1</v>
      </c>
      <c r="B6" s="44">
        <v>25924</v>
      </c>
      <c r="C6" s="75" t="s">
        <v>63</v>
      </c>
      <c r="D6" s="2"/>
    </row>
    <row r="7" spans="1:4" x14ac:dyDescent="0.3">
      <c r="A7" s="43" t="s">
        <v>57</v>
      </c>
      <c r="B7" s="44">
        <v>0</v>
      </c>
      <c r="C7" s="76"/>
    </row>
    <row r="8" spans="1:4" x14ac:dyDescent="0.3">
      <c r="A8" s="43" t="s">
        <v>53</v>
      </c>
      <c r="B8" s="44">
        <v>0</v>
      </c>
      <c r="C8" s="76"/>
      <c r="D8" s="2"/>
    </row>
    <row r="9" spans="1:4" x14ac:dyDescent="0.3">
      <c r="A9" s="43" t="s">
        <v>54</v>
      </c>
      <c r="B9" s="44">
        <v>0</v>
      </c>
      <c r="C9" s="76"/>
    </row>
    <row r="10" spans="1:4" x14ac:dyDescent="0.3">
      <c r="A10" s="43" t="s">
        <v>2</v>
      </c>
      <c r="B10" s="44">
        <v>2</v>
      </c>
      <c r="C10" s="76"/>
      <c r="D10" s="2"/>
    </row>
    <row r="11" spans="1:4" x14ac:dyDescent="0.3">
      <c r="A11" s="43" t="s">
        <v>3</v>
      </c>
      <c r="B11" s="44">
        <v>500</v>
      </c>
      <c r="C11" s="75" t="s">
        <v>64</v>
      </c>
    </row>
    <row r="12" spans="1:4" ht="15" thickBot="1" x14ac:dyDescent="0.35">
      <c r="A12" s="40" t="s">
        <v>4</v>
      </c>
      <c r="B12" s="45">
        <f>SUM(B6:B11)</f>
        <v>26426</v>
      </c>
      <c r="C12" s="77"/>
      <c r="D12" s="2"/>
    </row>
    <row r="13" spans="1:4" ht="15" thickTop="1" x14ac:dyDescent="0.3">
      <c r="A13" s="43"/>
      <c r="B13" s="46"/>
      <c r="C13" s="78"/>
    </row>
    <row r="14" spans="1:4" s="48" customFormat="1" x14ac:dyDescent="0.3">
      <c r="A14" s="40" t="s">
        <v>10</v>
      </c>
      <c r="B14" s="47"/>
      <c r="C14" s="79"/>
    </row>
    <row r="15" spans="1:4" x14ac:dyDescent="0.3">
      <c r="A15" s="43" t="s">
        <v>11</v>
      </c>
      <c r="B15" s="49">
        <v>7000</v>
      </c>
      <c r="C15" s="80" t="s">
        <v>66</v>
      </c>
      <c r="D15" s="3"/>
    </row>
    <row r="16" spans="1:4" x14ac:dyDescent="0.3">
      <c r="A16" s="50" t="s">
        <v>12</v>
      </c>
      <c r="B16" s="49">
        <v>1600</v>
      </c>
      <c r="C16" s="84" t="s">
        <v>83</v>
      </c>
      <c r="D16" s="2"/>
    </row>
    <row r="17" spans="1:5" x14ac:dyDescent="0.3">
      <c r="A17" s="43" t="s">
        <v>13</v>
      </c>
      <c r="B17" s="49">
        <v>900</v>
      </c>
      <c r="C17" s="72" t="s">
        <v>78</v>
      </c>
      <c r="D17" s="2"/>
    </row>
    <row r="18" spans="1:5" x14ac:dyDescent="0.3">
      <c r="A18" s="43" t="s">
        <v>14</v>
      </c>
      <c r="B18" s="49">
        <v>250</v>
      </c>
      <c r="C18" s="72" t="s">
        <v>81</v>
      </c>
      <c r="D18" s="2"/>
    </row>
    <row r="19" spans="1:5" x14ac:dyDescent="0.3">
      <c r="A19" s="43" t="s">
        <v>15</v>
      </c>
      <c r="B19" s="49">
        <v>120</v>
      </c>
      <c r="C19" s="72" t="s">
        <v>72</v>
      </c>
      <c r="D19" s="2"/>
    </row>
    <row r="20" spans="1:5" x14ac:dyDescent="0.3">
      <c r="A20" s="43" t="s">
        <v>16</v>
      </c>
      <c r="B20" s="49">
        <v>200</v>
      </c>
      <c r="C20" s="91" t="s">
        <v>84</v>
      </c>
    </row>
    <row r="21" spans="1:5" x14ac:dyDescent="0.3">
      <c r="A21" s="43" t="s">
        <v>17</v>
      </c>
      <c r="B21" s="49">
        <v>200</v>
      </c>
      <c r="C21" s="91" t="s">
        <v>84</v>
      </c>
    </row>
    <row r="22" spans="1:5" x14ac:dyDescent="0.3">
      <c r="A22" s="43" t="s">
        <v>18</v>
      </c>
      <c r="B22" s="49">
        <v>600</v>
      </c>
      <c r="C22" s="72" t="s">
        <v>73</v>
      </c>
      <c r="D22" s="2"/>
    </row>
    <row r="23" spans="1:5" ht="28.8" x14ac:dyDescent="0.3">
      <c r="A23" s="50" t="s">
        <v>19</v>
      </c>
      <c r="B23" s="49">
        <v>200</v>
      </c>
      <c r="C23" s="91" t="s">
        <v>84</v>
      </c>
    </row>
    <row r="24" spans="1:5" ht="28.8" x14ac:dyDescent="0.3">
      <c r="A24" s="43" t="s">
        <v>20</v>
      </c>
      <c r="B24" s="49">
        <v>3089</v>
      </c>
      <c r="C24" s="72" t="s">
        <v>65</v>
      </c>
    </row>
    <row r="25" spans="1:5" x14ac:dyDescent="0.3">
      <c r="A25" s="43" t="s">
        <v>21</v>
      </c>
      <c r="B25" s="49">
        <v>800</v>
      </c>
      <c r="C25" s="91" t="s">
        <v>84</v>
      </c>
    </row>
    <row r="26" spans="1:5" x14ac:dyDescent="0.3">
      <c r="A26" s="43" t="s">
        <v>22</v>
      </c>
      <c r="B26" s="49">
        <v>0</v>
      </c>
      <c r="C26" s="81"/>
    </row>
    <row r="27" spans="1:5" x14ac:dyDescent="0.3">
      <c r="A27" s="38" t="s">
        <v>61</v>
      </c>
      <c r="B27" s="49">
        <v>0</v>
      </c>
      <c r="C27" s="81"/>
      <c r="D27" s="2"/>
    </row>
    <row r="28" spans="1:5" x14ac:dyDescent="0.3">
      <c r="A28" s="38" t="s">
        <v>60</v>
      </c>
      <c r="B28" s="49">
        <v>700</v>
      </c>
      <c r="C28" s="91" t="s">
        <v>84</v>
      </c>
      <c r="D28" s="2"/>
    </row>
    <row r="29" spans="1:5" x14ac:dyDescent="0.3">
      <c r="A29" s="43" t="s">
        <v>24</v>
      </c>
      <c r="B29" s="49">
        <v>1500</v>
      </c>
      <c r="C29" s="91" t="s">
        <v>84</v>
      </c>
    </row>
    <row r="30" spans="1:5" x14ac:dyDescent="0.3">
      <c r="A30" s="38" t="s">
        <v>59</v>
      </c>
      <c r="B30" s="49">
        <v>0</v>
      </c>
      <c r="C30" s="81"/>
      <c r="D30" s="2"/>
    </row>
    <row r="31" spans="1:5" x14ac:dyDescent="0.3">
      <c r="A31" s="50" t="s">
        <v>55</v>
      </c>
      <c r="B31" s="49">
        <v>0</v>
      </c>
      <c r="C31" s="81"/>
      <c r="D31" s="2"/>
      <c r="E31" s="65"/>
    </row>
    <row r="32" spans="1:5" ht="28.8" x14ac:dyDescent="0.3">
      <c r="A32" s="50" t="s">
        <v>26</v>
      </c>
      <c r="B32" s="49">
        <v>500</v>
      </c>
      <c r="C32" s="71" t="s">
        <v>80</v>
      </c>
    </row>
    <row r="33" spans="1:5" s="48" customFormat="1" x14ac:dyDescent="0.3">
      <c r="A33" s="51" t="s">
        <v>27</v>
      </c>
      <c r="B33" s="52">
        <f>SUM(B15:B32)</f>
        <v>17659</v>
      </c>
      <c r="C33" s="82"/>
      <c r="E33" s="59"/>
    </row>
    <row r="34" spans="1:5" x14ac:dyDescent="0.3">
      <c r="A34" s="53"/>
      <c r="B34" s="54"/>
      <c r="C34" s="83"/>
    </row>
    <row r="35" spans="1:5" x14ac:dyDescent="0.3">
      <c r="A35" s="55" t="s">
        <v>28</v>
      </c>
      <c r="B35" s="56"/>
      <c r="C35" s="83"/>
    </row>
    <row r="36" spans="1:5" x14ac:dyDescent="0.3">
      <c r="A36" s="43" t="s">
        <v>29</v>
      </c>
      <c r="B36" s="56">
        <v>400</v>
      </c>
      <c r="C36" s="90" t="s">
        <v>76</v>
      </c>
    </row>
    <row r="37" spans="1:5" x14ac:dyDescent="0.3">
      <c r="A37" s="43" t="s">
        <v>30</v>
      </c>
      <c r="B37" s="56">
        <v>1380</v>
      </c>
      <c r="C37" s="84" t="s">
        <v>75</v>
      </c>
      <c r="D37" s="2"/>
    </row>
    <row r="38" spans="1:5" ht="28.8" x14ac:dyDescent="0.3">
      <c r="A38" s="43" t="s">
        <v>31</v>
      </c>
      <c r="B38" s="56">
        <v>300</v>
      </c>
      <c r="C38" s="84" t="s">
        <v>74</v>
      </c>
    </row>
    <row r="39" spans="1:5" x14ac:dyDescent="0.3">
      <c r="A39" s="43" t="s">
        <v>32</v>
      </c>
      <c r="B39" s="56">
        <v>1200</v>
      </c>
      <c r="C39" s="84" t="s">
        <v>70</v>
      </c>
    </row>
    <row r="40" spans="1:5" x14ac:dyDescent="0.3">
      <c r="A40" s="43" t="s">
        <v>33</v>
      </c>
      <c r="B40" s="56">
        <v>120</v>
      </c>
      <c r="C40" s="91" t="s">
        <v>84</v>
      </c>
    </row>
    <row r="41" spans="1:5" x14ac:dyDescent="0.3">
      <c r="A41" s="43" t="s">
        <v>34</v>
      </c>
      <c r="B41" s="56">
        <v>1000</v>
      </c>
      <c r="C41" s="91" t="s">
        <v>84</v>
      </c>
    </row>
    <row r="42" spans="1:5" x14ac:dyDescent="0.3">
      <c r="A42" s="43" t="s">
        <v>35</v>
      </c>
      <c r="B42" s="56">
        <v>60</v>
      </c>
      <c r="C42" s="84" t="s">
        <v>67</v>
      </c>
      <c r="D42" s="2"/>
    </row>
    <row r="43" spans="1:5" x14ac:dyDescent="0.3">
      <c r="A43" s="43" t="s">
        <v>36</v>
      </c>
      <c r="B43" s="56">
        <v>100</v>
      </c>
      <c r="C43" s="84" t="s">
        <v>69</v>
      </c>
    </row>
    <row r="44" spans="1:5" x14ac:dyDescent="0.3">
      <c r="A44" s="43" t="s">
        <v>37</v>
      </c>
      <c r="B44" s="56">
        <v>65</v>
      </c>
      <c r="C44" s="84" t="s">
        <v>79</v>
      </c>
    </row>
    <row r="45" spans="1:5" x14ac:dyDescent="0.3">
      <c r="A45" s="43" t="s">
        <v>38</v>
      </c>
      <c r="B45" s="56">
        <v>50</v>
      </c>
      <c r="C45" s="91" t="s">
        <v>84</v>
      </c>
    </row>
    <row r="46" spans="1:5" x14ac:dyDescent="0.3">
      <c r="A46" s="43" t="s">
        <v>39</v>
      </c>
      <c r="B46" s="56">
        <v>100</v>
      </c>
      <c r="C46" s="84" t="s">
        <v>77</v>
      </c>
    </row>
    <row r="47" spans="1:5" x14ac:dyDescent="0.3">
      <c r="A47" s="43" t="s">
        <v>56</v>
      </c>
      <c r="B47" s="56">
        <v>0</v>
      </c>
      <c r="C47" s="91" t="s">
        <v>85</v>
      </c>
      <c r="D47" s="2"/>
    </row>
    <row r="48" spans="1:5" x14ac:dyDescent="0.3">
      <c r="A48" s="43" t="s">
        <v>40</v>
      </c>
      <c r="B48" s="56">
        <v>600</v>
      </c>
      <c r="C48" s="84" t="s">
        <v>68</v>
      </c>
    </row>
    <row r="49" spans="1:7" x14ac:dyDescent="0.3">
      <c r="A49" s="43" t="s">
        <v>41</v>
      </c>
      <c r="B49" s="56">
        <v>500</v>
      </c>
      <c r="C49" s="91" t="s">
        <v>84</v>
      </c>
    </row>
    <row r="50" spans="1:7" x14ac:dyDescent="0.3">
      <c r="A50" s="43" t="s">
        <v>42</v>
      </c>
      <c r="B50" s="56">
        <v>200</v>
      </c>
      <c r="C50" s="91" t="s">
        <v>84</v>
      </c>
    </row>
    <row r="51" spans="1:7" x14ac:dyDescent="0.3">
      <c r="A51" s="43" t="s">
        <v>58</v>
      </c>
      <c r="B51" s="56">
        <v>1800</v>
      </c>
      <c r="C51" s="84" t="s">
        <v>71</v>
      </c>
    </row>
    <row r="52" spans="1:7" x14ac:dyDescent="0.3">
      <c r="A52" s="43" t="s">
        <v>44</v>
      </c>
      <c r="B52" s="56">
        <v>690</v>
      </c>
      <c r="C52" s="84" t="s">
        <v>82</v>
      </c>
      <c r="D52" s="2"/>
    </row>
    <row r="53" spans="1:7" x14ac:dyDescent="0.3">
      <c r="A53" s="43" t="s">
        <v>45</v>
      </c>
      <c r="B53" s="56">
        <v>600</v>
      </c>
      <c r="C53" s="91" t="s">
        <v>84</v>
      </c>
    </row>
    <row r="54" spans="1:7" x14ac:dyDescent="0.3">
      <c r="A54" s="37" t="s">
        <v>62</v>
      </c>
      <c r="B54" s="56">
        <v>75</v>
      </c>
      <c r="C54" s="91" t="s">
        <v>84</v>
      </c>
    </row>
    <row r="55" spans="1:7" x14ac:dyDescent="0.3">
      <c r="A55" s="43"/>
      <c r="B55" s="56"/>
      <c r="C55" s="83"/>
    </row>
    <row r="56" spans="1:7" s="48" customFormat="1" x14ac:dyDescent="0.3">
      <c r="A56" s="40" t="s">
        <v>47</v>
      </c>
      <c r="B56" s="57">
        <f>SUM(B36:B55)</f>
        <v>9240</v>
      </c>
      <c r="C56" s="82"/>
    </row>
    <row r="57" spans="1:7" x14ac:dyDescent="0.3">
      <c r="A57" s="58"/>
      <c r="B57" s="56"/>
      <c r="C57" s="83"/>
    </row>
    <row r="58" spans="1:7" s="48" customFormat="1" ht="15" thickBot="1" x14ac:dyDescent="0.35">
      <c r="A58" s="40" t="s">
        <v>48</v>
      </c>
      <c r="B58" s="45">
        <f>SUM(B33+B56)</f>
        <v>26899</v>
      </c>
      <c r="C58" s="77"/>
      <c r="E58" s="59"/>
      <c r="G58" s="59"/>
    </row>
    <row r="59" spans="1:7" ht="15.6" thickTop="1" thickBot="1" x14ac:dyDescent="0.35">
      <c r="A59" s="43"/>
      <c r="B59" s="60"/>
      <c r="C59" s="85"/>
    </row>
    <row r="60" spans="1:7" s="48" customFormat="1" ht="15.6" thickTop="1" thickBot="1" x14ac:dyDescent="0.35">
      <c r="A60" s="61" t="s">
        <v>52</v>
      </c>
      <c r="B60" s="62">
        <f>+B12-B58</f>
        <v>-473</v>
      </c>
      <c r="C60" s="86"/>
      <c r="G60" s="59"/>
    </row>
    <row r="61" spans="1:7" s="48" customFormat="1" ht="15" thickTop="1" x14ac:dyDescent="0.3">
      <c r="A61" s="61"/>
      <c r="B61" s="63"/>
      <c r="C61" s="87"/>
      <c r="G61" s="59"/>
    </row>
    <row r="62" spans="1:7" x14ac:dyDescent="0.3">
      <c r="A62" s="37" t="s">
        <v>88</v>
      </c>
      <c r="B62" s="44">
        <f>+B58*0.75</f>
        <v>20174.25</v>
      </c>
      <c r="C62" s="76"/>
    </row>
    <row r="63" spans="1:7" ht="15" thickBot="1" x14ac:dyDescent="0.35">
      <c r="A63" s="64"/>
      <c r="B63" s="60"/>
      <c r="C63" s="85"/>
    </row>
    <row r="64" spans="1:7" s="67" customFormat="1" x14ac:dyDescent="0.3">
      <c r="A64" s="66"/>
      <c r="B64" s="68"/>
      <c r="C64" s="88"/>
      <c r="F64" s="69"/>
      <c r="G64" s="69"/>
    </row>
  </sheetData>
  <mergeCells count="3">
    <mergeCell ref="A2:C2"/>
    <mergeCell ref="A3:C3"/>
    <mergeCell ref="A1:C1"/>
  </mergeCells>
  <pageMargins left="0.2" right="0.2" top="0.25" bottom="0.2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4"/>
  <sheetViews>
    <sheetView zoomScale="90" zoomScaleNormal="90" workbookViewId="0">
      <selection activeCell="C9" sqref="C9"/>
    </sheetView>
  </sheetViews>
  <sheetFormatPr defaultColWidth="9.109375" defaultRowHeight="14.4" x14ac:dyDescent="0.3"/>
  <cols>
    <col min="1" max="1" width="27.44140625" style="39" customWidth="1"/>
    <col min="2" max="2" width="27.109375" style="70" customWidth="1"/>
    <col min="3" max="3" width="88.33203125" style="105" customWidth="1"/>
    <col min="4" max="4" width="19.88671875" style="39" customWidth="1"/>
    <col min="5" max="5" width="10.109375" style="39" bestFit="1" customWidth="1"/>
    <col min="6" max="16384" width="9.109375" style="39"/>
  </cols>
  <sheetData>
    <row r="1" spans="1:4" ht="25.8" x14ac:dyDescent="0.5">
      <c r="A1" s="189" t="s">
        <v>87</v>
      </c>
      <c r="B1" s="189"/>
      <c r="C1" s="189"/>
    </row>
    <row r="2" spans="1:4" ht="18" x14ac:dyDescent="0.35">
      <c r="A2" s="186" t="s">
        <v>100</v>
      </c>
      <c r="B2" s="187"/>
      <c r="C2" s="187"/>
    </row>
    <row r="3" spans="1:4" ht="18.600000000000001" thickBot="1" x14ac:dyDescent="0.4">
      <c r="A3" s="188"/>
      <c r="B3" s="188"/>
      <c r="C3" s="188"/>
    </row>
    <row r="4" spans="1:4" ht="15" thickBot="1" x14ac:dyDescent="0.35">
      <c r="A4" s="115"/>
      <c r="B4" s="92" t="s">
        <v>101</v>
      </c>
      <c r="C4" s="93"/>
    </row>
    <row r="5" spans="1:4" x14ac:dyDescent="0.3">
      <c r="A5" s="40" t="s">
        <v>0</v>
      </c>
      <c r="B5" s="42"/>
      <c r="C5" s="94"/>
    </row>
    <row r="6" spans="1:4" x14ac:dyDescent="0.3">
      <c r="A6" s="43" t="s">
        <v>1</v>
      </c>
      <c r="B6" s="44">
        <v>25924</v>
      </c>
      <c r="C6" s="106" t="s">
        <v>128</v>
      </c>
      <c r="D6" s="2"/>
    </row>
    <row r="7" spans="1:4" x14ac:dyDescent="0.3">
      <c r="A7" s="43" t="s">
        <v>57</v>
      </c>
      <c r="B7" s="44">
        <v>0</v>
      </c>
      <c r="C7" s="95"/>
    </row>
    <row r="8" spans="1:4" x14ac:dyDescent="0.3">
      <c r="A8" s="43" t="s">
        <v>53</v>
      </c>
      <c r="B8" s="44">
        <v>0</v>
      </c>
      <c r="C8" s="95"/>
      <c r="D8" s="2"/>
    </row>
    <row r="9" spans="1:4" x14ac:dyDescent="0.3">
      <c r="A9" s="43" t="s">
        <v>54</v>
      </c>
      <c r="B9" s="44">
        <v>0</v>
      </c>
      <c r="C9" s="95"/>
    </row>
    <row r="10" spans="1:4" x14ac:dyDescent="0.3">
      <c r="A10" s="43" t="s">
        <v>2</v>
      </c>
      <c r="B10" s="44">
        <v>2</v>
      </c>
      <c r="C10" s="95"/>
      <c r="D10" s="2"/>
    </row>
    <row r="11" spans="1:4" x14ac:dyDescent="0.3">
      <c r="A11" s="43" t="s">
        <v>3</v>
      </c>
      <c r="B11" s="44">
        <v>2000</v>
      </c>
      <c r="C11" s="106" t="s">
        <v>122</v>
      </c>
    </row>
    <row r="12" spans="1:4" ht="15" thickBot="1" x14ac:dyDescent="0.35">
      <c r="A12" s="40" t="s">
        <v>4</v>
      </c>
      <c r="B12" s="45">
        <f>SUM(B6:B11)</f>
        <v>27926</v>
      </c>
      <c r="C12" s="96"/>
      <c r="D12" s="2"/>
    </row>
    <row r="13" spans="1:4" ht="15" thickTop="1" x14ac:dyDescent="0.3">
      <c r="A13" s="43"/>
      <c r="B13" s="46"/>
      <c r="C13" s="97"/>
    </row>
    <row r="14" spans="1:4" s="48" customFormat="1" x14ac:dyDescent="0.3">
      <c r="A14" s="40" t="s">
        <v>10</v>
      </c>
      <c r="B14" s="47"/>
      <c r="C14" s="112" t="s">
        <v>96</v>
      </c>
    </row>
    <row r="15" spans="1:4" x14ac:dyDescent="0.3">
      <c r="A15" s="43" t="s">
        <v>11</v>
      </c>
      <c r="B15" s="49">
        <v>8000</v>
      </c>
      <c r="C15" s="107" t="s">
        <v>107</v>
      </c>
      <c r="D15" s="3"/>
    </row>
    <row r="16" spans="1:4" ht="28.8" x14ac:dyDescent="0.3">
      <c r="A16" s="50" t="s">
        <v>12</v>
      </c>
      <c r="B16" s="49">
        <v>1800</v>
      </c>
      <c r="C16" s="108" t="s">
        <v>108</v>
      </c>
      <c r="D16" s="2"/>
    </row>
    <row r="17" spans="1:5" x14ac:dyDescent="0.3">
      <c r="A17" s="43" t="s">
        <v>13</v>
      </c>
      <c r="B17" s="49">
        <v>600</v>
      </c>
      <c r="C17" s="110" t="s">
        <v>123</v>
      </c>
      <c r="D17" s="2"/>
    </row>
    <row r="18" spans="1:5" x14ac:dyDescent="0.3">
      <c r="A18" s="43" t="s">
        <v>14</v>
      </c>
      <c r="B18" s="49">
        <v>190</v>
      </c>
      <c r="C18" s="110" t="s">
        <v>105</v>
      </c>
      <c r="D18" s="2"/>
    </row>
    <row r="19" spans="1:5" x14ac:dyDescent="0.3">
      <c r="A19" s="43" t="s">
        <v>15</v>
      </c>
      <c r="B19" s="49">
        <f>585+25</f>
        <v>610</v>
      </c>
      <c r="C19" s="110" t="s">
        <v>106</v>
      </c>
      <c r="D19" s="2"/>
    </row>
    <row r="20" spans="1:5" x14ac:dyDescent="0.3">
      <c r="A20" s="43" t="s">
        <v>16</v>
      </c>
      <c r="B20" s="49">
        <v>250</v>
      </c>
      <c r="C20" s="108" t="s">
        <v>124</v>
      </c>
    </row>
    <row r="21" spans="1:5" x14ac:dyDescent="0.3">
      <c r="A21" s="43" t="s">
        <v>17</v>
      </c>
      <c r="B21" s="49">
        <v>50</v>
      </c>
      <c r="C21" s="108" t="s">
        <v>95</v>
      </c>
    </row>
    <row r="22" spans="1:5" x14ac:dyDescent="0.3">
      <c r="A22" s="43" t="s">
        <v>18</v>
      </c>
      <c r="B22" s="49">
        <v>625</v>
      </c>
      <c r="C22" s="110" t="s">
        <v>109</v>
      </c>
      <c r="D22" s="2"/>
    </row>
    <row r="23" spans="1:5" ht="28.8" x14ac:dyDescent="0.3">
      <c r="A23" s="50" t="s">
        <v>19</v>
      </c>
      <c r="B23" s="49">
        <v>625</v>
      </c>
      <c r="C23" s="108" t="s">
        <v>104</v>
      </c>
    </row>
    <row r="24" spans="1:5" ht="28.8" x14ac:dyDescent="0.3">
      <c r="A24" s="43" t="s">
        <v>20</v>
      </c>
      <c r="B24" s="49">
        <f>50+115+1500-1500+50+50+720+750+84+110+90+45</f>
        <v>2064</v>
      </c>
      <c r="C24" s="110" t="s">
        <v>103</v>
      </c>
      <c r="D24" s="70"/>
      <c r="E24" s="70"/>
    </row>
    <row r="25" spans="1:5" x14ac:dyDescent="0.3">
      <c r="A25" s="43" t="s">
        <v>21</v>
      </c>
      <c r="B25" s="49">
        <f>400+400+400</f>
        <v>1200</v>
      </c>
      <c r="C25" s="108" t="s">
        <v>125</v>
      </c>
    </row>
    <row r="26" spans="1:5" x14ac:dyDescent="0.3">
      <c r="A26" s="43" t="s">
        <v>22</v>
      </c>
      <c r="B26" s="49">
        <f>200+60+400+325</f>
        <v>985</v>
      </c>
      <c r="C26" s="107" t="s">
        <v>110</v>
      </c>
    </row>
    <row r="27" spans="1:5" x14ac:dyDescent="0.3">
      <c r="A27" s="38" t="s">
        <v>61</v>
      </c>
      <c r="B27" s="49">
        <v>0</v>
      </c>
      <c r="C27" s="107" t="s">
        <v>97</v>
      </c>
      <c r="D27" s="2"/>
    </row>
    <row r="28" spans="1:5" x14ac:dyDescent="0.3">
      <c r="A28" s="38" t="s">
        <v>60</v>
      </c>
      <c r="B28" s="49">
        <f>400+400+400</f>
        <v>1200</v>
      </c>
      <c r="C28" s="108" t="s">
        <v>126</v>
      </c>
      <c r="D28" s="2"/>
    </row>
    <row r="29" spans="1:5" ht="28.8" x14ac:dyDescent="0.3">
      <c r="A29" s="43" t="s">
        <v>24</v>
      </c>
      <c r="B29" s="49">
        <f>400+400+400+400+400</f>
        <v>2000</v>
      </c>
      <c r="C29" s="108" t="s">
        <v>98</v>
      </c>
    </row>
    <row r="30" spans="1:5" x14ac:dyDescent="0.3">
      <c r="A30" s="38" t="s">
        <v>59</v>
      </c>
      <c r="B30" s="49"/>
      <c r="C30" s="98"/>
      <c r="D30" s="2"/>
    </row>
    <row r="31" spans="1:5" x14ac:dyDescent="0.3">
      <c r="A31" s="50" t="s">
        <v>55</v>
      </c>
      <c r="B31" s="49"/>
      <c r="C31" s="98"/>
      <c r="D31" s="2"/>
      <c r="E31" s="65"/>
    </row>
    <row r="32" spans="1:5" s="48" customFormat="1" x14ac:dyDescent="0.3">
      <c r="A32" s="51" t="s">
        <v>27</v>
      </c>
      <c r="B32" s="52">
        <f>SUM(B15:B31)</f>
        <v>20199</v>
      </c>
      <c r="C32" s="99"/>
      <c r="E32" s="59"/>
    </row>
    <row r="33" spans="1:4" x14ac:dyDescent="0.3">
      <c r="A33" s="53"/>
      <c r="B33" s="54"/>
      <c r="C33" s="100"/>
    </row>
    <row r="34" spans="1:4" x14ac:dyDescent="0.3">
      <c r="A34" s="55" t="s">
        <v>28</v>
      </c>
      <c r="B34" s="56"/>
      <c r="C34" s="100"/>
    </row>
    <row r="35" spans="1:4" ht="43.2" x14ac:dyDescent="0.3">
      <c r="A35" s="38" t="s">
        <v>94</v>
      </c>
      <c r="B35" s="49">
        <f>150+700+200+450</f>
        <v>1500</v>
      </c>
      <c r="C35" s="111" t="s">
        <v>111</v>
      </c>
    </row>
    <row r="36" spans="1:4" ht="28.8" x14ac:dyDescent="0.3">
      <c r="A36" s="43" t="s">
        <v>29</v>
      </c>
      <c r="B36" s="56">
        <f>1020+70+80+400-920</f>
        <v>650</v>
      </c>
      <c r="C36" s="109" t="s">
        <v>112</v>
      </c>
    </row>
    <row r="37" spans="1:4" x14ac:dyDescent="0.3">
      <c r="A37" s="43" t="s">
        <v>30</v>
      </c>
      <c r="B37" s="56">
        <v>920</v>
      </c>
      <c r="C37" s="108" t="s">
        <v>113</v>
      </c>
      <c r="D37" s="2"/>
    </row>
    <row r="38" spans="1:4" x14ac:dyDescent="0.3">
      <c r="A38" s="43" t="s">
        <v>31</v>
      </c>
      <c r="B38" s="56">
        <f>60+275</f>
        <v>335</v>
      </c>
      <c r="C38" s="108" t="s">
        <v>93</v>
      </c>
    </row>
    <row r="39" spans="1:4" x14ac:dyDescent="0.3">
      <c r="A39" s="43" t="s">
        <v>32</v>
      </c>
      <c r="B39" s="56">
        <v>1200</v>
      </c>
      <c r="C39" s="108" t="s">
        <v>114</v>
      </c>
    </row>
    <row r="40" spans="1:4" x14ac:dyDescent="0.3">
      <c r="A40" s="43" t="s">
        <v>33</v>
      </c>
      <c r="B40" s="56">
        <f>100+100</f>
        <v>200</v>
      </c>
      <c r="C40" s="108" t="s">
        <v>92</v>
      </c>
    </row>
    <row r="41" spans="1:4" x14ac:dyDescent="0.3">
      <c r="A41" s="43" t="s">
        <v>34</v>
      </c>
      <c r="B41" s="56">
        <v>1000</v>
      </c>
      <c r="C41" s="108" t="s">
        <v>91</v>
      </c>
    </row>
    <row r="42" spans="1:4" x14ac:dyDescent="0.3">
      <c r="A42" s="43" t="s">
        <v>35</v>
      </c>
      <c r="B42" s="56">
        <v>50</v>
      </c>
      <c r="C42" s="108" t="s">
        <v>116</v>
      </c>
      <c r="D42" s="2"/>
    </row>
    <row r="43" spans="1:4" x14ac:dyDescent="0.3">
      <c r="A43" s="43" t="s">
        <v>36</v>
      </c>
      <c r="B43" s="56">
        <f>100</f>
        <v>100</v>
      </c>
      <c r="C43" s="108" t="s">
        <v>117</v>
      </c>
    </row>
    <row r="44" spans="1:4" x14ac:dyDescent="0.3">
      <c r="A44" s="43" t="s">
        <v>37</v>
      </c>
      <c r="B44" s="56">
        <v>0</v>
      </c>
      <c r="C44" s="108" t="s">
        <v>115</v>
      </c>
    </row>
    <row r="45" spans="1:4" x14ac:dyDescent="0.3">
      <c r="A45" s="43" t="s">
        <v>38</v>
      </c>
      <c r="B45" s="56">
        <v>100</v>
      </c>
      <c r="C45" s="108" t="s">
        <v>118</v>
      </c>
    </row>
    <row r="46" spans="1:4" x14ac:dyDescent="0.3">
      <c r="A46" s="43" t="s">
        <v>39</v>
      </c>
      <c r="B46" s="56">
        <v>100</v>
      </c>
      <c r="C46" s="108" t="s">
        <v>89</v>
      </c>
    </row>
    <row r="47" spans="1:4" x14ac:dyDescent="0.3">
      <c r="A47" s="43" t="s">
        <v>56</v>
      </c>
      <c r="B47" s="56">
        <v>2000</v>
      </c>
      <c r="C47" s="106" t="s">
        <v>127</v>
      </c>
      <c r="D47" s="2"/>
    </row>
    <row r="48" spans="1:4" x14ac:dyDescent="0.3">
      <c r="A48" s="43" t="s">
        <v>40</v>
      </c>
      <c r="B48" s="56">
        <v>600</v>
      </c>
      <c r="C48" s="108" t="s">
        <v>102</v>
      </c>
    </row>
    <row r="49" spans="1:7" x14ac:dyDescent="0.3">
      <c r="A49" s="43" t="s">
        <v>41</v>
      </c>
      <c r="B49" s="56">
        <f>75+75+50+50+132</f>
        <v>382</v>
      </c>
      <c r="C49" s="108" t="s">
        <v>119</v>
      </c>
    </row>
    <row r="50" spans="1:7" ht="28.8" x14ac:dyDescent="0.3">
      <c r="A50" s="43" t="s">
        <v>42</v>
      </c>
      <c r="B50" s="56">
        <f>225+50+100</f>
        <v>375</v>
      </c>
      <c r="C50" s="108" t="s">
        <v>90</v>
      </c>
    </row>
    <row r="51" spans="1:7" x14ac:dyDescent="0.3">
      <c r="A51" s="43" t="s">
        <v>58</v>
      </c>
      <c r="B51" s="56">
        <f>1300+300+200</f>
        <v>1800</v>
      </c>
      <c r="C51" s="108" t="s">
        <v>71</v>
      </c>
    </row>
    <row r="52" spans="1:7" x14ac:dyDescent="0.3">
      <c r="A52" s="43" t="s">
        <v>44</v>
      </c>
      <c r="B52" s="56">
        <f>540+50+100-540</f>
        <v>150</v>
      </c>
      <c r="C52" s="108" t="s">
        <v>120</v>
      </c>
      <c r="D52" s="2"/>
    </row>
    <row r="53" spans="1:7" ht="28.8" x14ac:dyDescent="0.3">
      <c r="A53" s="43" t="s">
        <v>45</v>
      </c>
      <c r="B53" s="56">
        <f>30*12+140</f>
        <v>500</v>
      </c>
      <c r="C53" s="108" t="s">
        <v>99</v>
      </c>
    </row>
    <row r="54" spans="1:7" x14ac:dyDescent="0.3">
      <c r="A54" s="37" t="s">
        <v>62</v>
      </c>
      <c r="B54" s="56">
        <v>75</v>
      </c>
      <c r="C54" s="108" t="s">
        <v>121</v>
      </c>
    </row>
    <row r="55" spans="1:7" x14ac:dyDescent="0.3">
      <c r="A55" s="43"/>
      <c r="B55" s="56"/>
      <c r="C55" s="100"/>
    </row>
    <row r="56" spans="1:7" s="48" customFormat="1" x14ac:dyDescent="0.3">
      <c r="A56" s="40" t="s">
        <v>47</v>
      </c>
      <c r="B56" s="57">
        <f>SUM(B36:B55)</f>
        <v>10537</v>
      </c>
      <c r="C56" s="99"/>
    </row>
    <row r="57" spans="1:7" x14ac:dyDescent="0.3">
      <c r="A57" s="58"/>
      <c r="B57" s="56"/>
      <c r="C57" s="100"/>
    </row>
    <row r="58" spans="1:7" s="48" customFormat="1" ht="15" thickBot="1" x14ac:dyDescent="0.35">
      <c r="A58" s="40" t="s">
        <v>48</v>
      </c>
      <c r="B58" s="45">
        <f>SUM(B32+B56)</f>
        <v>30736</v>
      </c>
      <c r="C58" s="96"/>
      <c r="E58" s="59"/>
      <c r="G58" s="59"/>
    </row>
    <row r="59" spans="1:7" ht="15.6" thickTop="1" thickBot="1" x14ac:dyDescent="0.35">
      <c r="A59" s="43"/>
      <c r="B59" s="60"/>
      <c r="C59" s="101"/>
    </row>
    <row r="60" spans="1:7" s="48" customFormat="1" ht="15.6" thickTop="1" thickBot="1" x14ac:dyDescent="0.35">
      <c r="A60" s="61" t="s">
        <v>52</v>
      </c>
      <c r="B60" s="62">
        <f>+B12-B58</f>
        <v>-2810</v>
      </c>
      <c r="C60" s="102"/>
      <c r="G60" s="59"/>
    </row>
    <row r="61" spans="1:7" s="48" customFormat="1" ht="15" thickTop="1" x14ac:dyDescent="0.3">
      <c r="A61" s="61"/>
      <c r="B61" s="63"/>
      <c r="C61" s="103"/>
      <c r="G61" s="59"/>
    </row>
    <row r="62" spans="1:7" x14ac:dyDescent="0.3">
      <c r="A62" s="37" t="s">
        <v>88</v>
      </c>
      <c r="B62" s="44">
        <f>+B58*0.75</f>
        <v>23052</v>
      </c>
      <c r="C62" s="95"/>
    </row>
    <row r="63" spans="1:7" ht="15" thickBot="1" x14ac:dyDescent="0.35">
      <c r="A63" s="64"/>
      <c r="B63" s="113"/>
      <c r="C63" s="114"/>
    </row>
    <row r="64" spans="1:7" s="67" customFormat="1" x14ac:dyDescent="0.3">
      <c r="A64" s="66"/>
      <c r="B64" s="68"/>
      <c r="C64" s="104"/>
      <c r="F64" s="69"/>
      <c r="G64" s="69"/>
    </row>
  </sheetData>
  <mergeCells count="3">
    <mergeCell ref="A1:C1"/>
    <mergeCell ref="A2:C2"/>
    <mergeCell ref="A3:C3"/>
  </mergeCells>
  <pageMargins left="0.2" right="0.2" top="0.25" bottom="0.25" header="0.3" footer="0.3"/>
  <pageSetup scale="63" orientation="portrait" r:id="rId1"/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4"/>
  <sheetViews>
    <sheetView zoomScaleNormal="100" workbookViewId="0">
      <selection activeCell="E4" sqref="E1:F1048576"/>
    </sheetView>
  </sheetViews>
  <sheetFormatPr defaultColWidth="9.109375" defaultRowHeight="14.4" x14ac:dyDescent="0.3"/>
  <cols>
    <col min="1" max="1" width="27.44140625" style="39" customWidth="1"/>
    <col min="2" max="2" width="21.109375" style="70" customWidth="1"/>
    <col min="3" max="4" width="18.88671875" style="105" customWidth="1"/>
    <col min="5" max="5" width="15.44140625" style="39" customWidth="1"/>
    <col min="6" max="7" width="18" style="39" customWidth="1"/>
    <col min="8" max="16384" width="9.109375" style="39"/>
  </cols>
  <sheetData>
    <row r="1" spans="1:8" ht="25.8" x14ac:dyDescent="0.5">
      <c r="A1" s="189" t="s">
        <v>131</v>
      </c>
      <c r="B1" s="189"/>
      <c r="C1" s="189"/>
      <c r="D1" s="189"/>
      <c r="E1" s="189"/>
      <c r="F1" s="189"/>
      <c r="G1" s="150"/>
    </row>
    <row r="2" spans="1:8" ht="18" x14ac:dyDescent="0.35">
      <c r="A2" s="186" t="s">
        <v>133</v>
      </c>
      <c r="B2" s="186"/>
      <c r="C2" s="186"/>
      <c r="D2" s="186"/>
      <c r="E2" s="186"/>
      <c r="F2" s="186"/>
      <c r="G2" s="149"/>
    </row>
    <row r="3" spans="1:8" ht="18.600000000000001" thickBot="1" x14ac:dyDescent="0.4">
      <c r="A3" s="190">
        <v>43783</v>
      </c>
      <c r="B3" s="190"/>
      <c r="C3" s="190"/>
      <c r="D3" s="190"/>
      <c r="E3" s="190"/>
      <c r="F3" s="190"/>
      <c r="G3" s="151"/>
    </row>
    <row r="4" spans="1:8" ht="64.5" customHeight="1" thickBot="1" x14ac:dyDescent="0.35">
      <c r="A4" s="118"/>
      <c r="B4" s="117" t="s">
        <v>135</v>
      </c>
      <c r="C4" s="116" t="s">
        <v>136</v>
      </c>
      <c r="D4" s="117" t="s">
        <v>137</v>
      </c>
      <c r="E4" s="142" t="s">
        <v>130</v>
      </c>
      <c r="F4" s="142" t="s">
        <v>129</v>
      </c>
      <c r="G4" s="152"/>
    </row>
    <row r="5" spans="1:8" x14ac:dyDescent="0.3">
      <c r="A5" s="40" t="s">
        <v>0</v>
      </c>
      <c r="B5" s="121"/>
      <c r="C5" s="94"/>
      <c r="D5" s="94"/>
      <c r="E5" s="124"/>
      <c r="F5" s="124"/>
      <c r="G5" s="153"/>
    </row>
    <row r="6" spans="1:8" x14ac:dyDescent="0.3">
      <c r="A6" s="43" t="s">
        <v>1</v>
      </c>
      <c r="B6" s="122">
        <v>25924</v>
      </c>
      <c r="C6" s="106">
        <f>20532.66+3329.16</f>
        <v>23861.82</v>
      </c>
      <c r="D6" s="106"/>
      <c r="E6" s="125">
        <f>+C6/B6</f>
        <v>0.92045286221262146</v>
      </c>
      <c r="F6" s="44">
        <f>B6-C6</f>
        <v>2062.1800000000003</v>
      </c>
      <c r="G6" s="154"/>
      <c r="H6" s="2" t="s">
        <v>134</v>
      </c>
    </row>
    <row r="7" spans="1:8" x14ac:dyDescent="0.3">
      <c r="A7" s="43" t="s">
        <v>57</v>
      </c>
      <c r="B7" s="122">
        <v>0</v>
      </c>
      <c r="C7" s="95"/>
      <c r="D7" s="95"/>
      <c r="E7" s="148"/>
      <c r="F7" s="44">
        <f t="shared" ref="F7:F12" si="0">B7-C7</f>
        <v>0</v>
      </c>
      <c r="G7" s="154"/>
    </row>
    <row r="8" spans="1:8" x14ac:dyDescent="0.3">
      <c r="A8" s="43" t="s">
        <v>53</v>
      </c>
      <c r="B8" s="122">
        <v>0</v>
      </c>
      <c r="C8" s="95"/>
      <c r="D8" s="95"/>
      <c r="E8" s="125"/>
      <c r="F8" s="44">
        <f t="shared" si="0"/>
        <v>0</v>
      </c>
      <c r="G8" s="154"/>
    </row>
    <row r="9" spans="1:8" x14ac:dyDescent="0.3">
      <c r="A9" s="43" t="s">
        <v>54</v>
      </c>
      <c r="B9" s="122">
        <v>0</v>
      </c>
      <c r="C9" s="95">
        <v>26164.79</v>
      </c>
      <c r="D9" s="95"/>
      <c r="E9" s="125"/>
      <c r="F9" s="44">
        <f t="shared" si="0"/>
        <v>-26164.79</v>
      </c>
      <c r="G9" s="154"/>
    </row>
    <row r="10" spans="1:8" x14ac:dyDescent="0.3">
      <c r="A10" s="43" t="s">
        <v>2</v>
      </c>
      <c r="B10" s="122">
        <v>2</v>
      </c>
      <c r="C10" s="106">
        <v>2.7</v>
      </c>
      <c r="D10" s="106"/>
      <c r="E10" s="125">
        <f t="shared" ref="E10:E12" si="1">+C10/B10</f>
        <v>1.35</v>
      </c>
      <c r="F10" s="44">
        <f t="shared" si="0"/>
        <v>-0.70000000000000018</v>
      </c>
      <c r="G10" s="154"/>
    </row>
    <row r="11" spans="1:8" x14ac:dyDescent="0.3">
      <c r="A11" s="43" t="s">
        <v>3</v>
      </c>
      <c r="B11" s="122">
        <v>2000</v>
      </c>
      <c r="C11" s="106">
        <v>1568.35</v>
      </c>
      <c r="D11" s="106"/>
      <c r="E11" s="126">
        <f t="shared" si="1"/>
        <v>0.78417499999999996</v>
      </c>
      <c r="F11" s="131">
        <f t="shared" si="0"/>
        <v>431.65000000000009</v>
      </c>
      <c r="G11" s="154"/>
    </row>
    <row r="12" spans="1:8" ht="15" thickBot="1" x14ac:dyDescent="0.35">
      <c r="A12" s="40" t="s">
        <v>4</v>
      </c>
      <c r="B12" s="123">
        <f>SUM(B6:B11)</f>
        <v>27926</v>
      </c>
      <c r="C12" s="138">
        <f>SUM(C6:C11)</f>
        <v>51597.659999999996</v>
      </c>
      <c r="D12" s="138"/>
      <c r="E12" s="146">
        <f t="shared" si="1"/>
        <v>1.8476566640406789</v>
      </c>
      <c r="F12" s="147">
        <f t="shared" si="0"/>
        <v>-23671.659999999996</v>
      </c>
      <c r="G12" s="155"/>
    </row>
    <row r="13" spans="1:8" ht="15" thickTop="1" x14ac:dyDescent="0.3">
      <c r="A13" s="43"/>
      <c r="B13" s="43"/>
      <c r="C13" s="97"/>
      <c r="D13" s="97"/>
      <c r="E13" s="46"/>
      <c r="F13" s="46"/>
      <c r="G13" s="153"/>
    </row>
    <row r="14" spans="1:8" s="48" customFormat="1" x14ac:dyDescent="0.3">
      <c r="A14" s="40" t="s">
        <v>10</v>
      </c>
      <c r="B14" s="119"/>
      <c r="C14" s="112"/>
      <c r="D14" s="112"/>
      <c r="E14" s="130"/>
      <c r="F14" s="130"/>
      <c r="G14" s="156"/>
    </row>
    <row r="15" spans="1:8" x14ac:dyDescent="0.3">
      <c r="A15" s="43" t="s">
        <v>11</v>
      </c>
      <c r="B15" s="120">
        <v>8000</v>
      </c>
      <c r="C15" s="111">
        <v>5465.78</v>
      </c>
      <c r="D15" s="111"/>
      <c r="E15" s="125">
        <f t="shared" ref="E15:E32" si="2">+C15/B15</f>
        <v>0.68322249999999995</v>
      </c>
      <c r="F15" s="44">
        <f>B15-C15</f>
        <v>2534.2200000000003</v>
      </c>
      <c r="G15" s="154"/>
    </row>
    <row r="16" spans="1:8" x14ac:dyDescent="0.3">
      <c r="A16" s="50" t="s">
        <v>12</v>
      </c>
      <c r="B16" s="120">
        <v>1800</v>
      </c>
      <c r="C16" s="128">
        <v>1800</v>
      </c>
      <c r="D16" s="128"/>
      <c r="E16" s="125">
        <f t="shared" si="2"/>
        <v>1</v>
      </c>
      <c r="F16" s="44">
        <f t="shared" ref="F16:F32" si="3">B16-C16</f>
        <v>0</v>
      </c>
      <c r="G16" s="154"/>
    </row>
    <row r="17" spans="1:7" x14ac:dyDescent="0.3">
      <c r="A17" s="43" t="s">
        <v>13</v>
      </c>
      <c r="B17" s="120">
        <v>600</v>
      </c>
      <c r="C17" s="111">
        <v>929.22</v>
      </c>
      <c r="D17" s="111"/>
      <c r="E17" s="125">
        <f t="shared" si="2"/>
        <v>1.5487</v>
      </c>
      <c r="F17" s="44">
        <f t="shared" si="3"/>
        <v>-329.22</v>
      </c>
      <c r="G17" s="154"/>
    </row>
    <row r="18" spans="1:7" x14ac:dyDescent="0.3">
      <c r="A18" s="43" t="s">
        <v>14</v>
      </c>
      <c r="B18" s="120">
        <v>190</v>
      </c>
      <c r="C18" s="111">
        <v>14.45</v>
      </c>
      <c r="D18" s="111"/>
      <c r="E18" s="125">
        <f t="shared" si="2"/>
        <v>7.6052631578947358E-2</v>
      </c>
      <c r="F18" s="44">
        <f t="shared" si="3"/>
        <v>175.55</v>
      </c>
      <c r="G18" s="154"/>
    </row>
    <row r="19" spans="1:7" x14ac:dyDescent="0.3">
      <c r="A19" s="43" t="s">
        <v>15</v>
      </c>
      <c r="B19" s="120">
        <f>585+25</f>
        <v>610</v>
      </c>
      <c r="C19" s="111">
        <v>213.34</v>
      </c>
      <c r="D19" s="111"/>
      <c r="E19" s="125">
        <f t="shared" si="2"/>
        <v>0.3497377049180328</v>
      </c>
      <c r="F19" s="44">
        <f t="shared" si="3"/>
        <v>396.65999999999997</v>
      </c>
      <c r="G19" s="154"/>
    </row>
    <row r="20" spans="1:7" x14ac:dyDescent="0.3">
      <c r="A20" s="43" t="s">
        <v>16</v>
      </c>
      <c r="B20" s="120">
        <v>250</v>
      </c>
      <c r="C20" s="128">
        <v>23.43</v>
      </c>
      <c r="D20" s="128"/>
      <c r="E20" s="125">
        <f t="shared" si="2"/>
        <v>9.3719999999999998E-2</v>
      </c>
      <c r="F20" s="44">
        <f t="shared" si="3"/>
        <v>226.57</v>
      </c>
      <c r="G20" s="154"/>
    </row>
    <row r="21" spans="1:7" x14ac:dyDescent="0.3">
      <c r="A21" s="43" t="s">
        <v>17</v>
      </c>
      <c r="B21" s="120">
        <v>50</v>
      </c>
      <c r="C21" s="128">
        <v>117.93</v>
      </c>
      <c r="D21" s="128"/>
      <c r="E21" s="125">
        <f t="shared" si="2"/>
        <v>2.3586</v>
      </c>
      <c r="F21" s="44">
        <f t="shared" si="3"/>
        <v>-67.930000000000007</v>
      </c>
      <c r="G21" s="154"/>
    </row>
    <row r="22" spans="1:7" x14ac:dyDescent="0.3">
      <c r="A22" s="43" t="s">
        <v>18</v>
      </c>
      <c r="B22" s="120">
        <v>625</v>
      </c>
      <c r="C22" s="111">
        <v>328.9</v>
      </c>
      <c r="D22" s="111"/>
      <c r="E22" s="125">
        <f t="shared" si="2"/>
        <v>0.52623999999999993</v>
      </c>
      <c r="F22" s="44">
        <f t="shared" si="3"/>
        <v>296.10000000000002</v>
      </c>
      <c r="G22" s="154"/>
    </row>
    <row r="23" spans="1:7" ht="28.8" x14ac:dyDescent="0.3">
      <c r="A23" s="50" t="s">
        <v>19</v>
      </c>
      <c r="B23" s="120">
        <v>625</v>
      </c>
      <c r="C23" s="128">
        <v>420.27</v>
      </c>
      <c r="D23" s="128"/>
      <c r="E23" s="125">
        <f t="shared" si="2"/>
        <v>0.67243199999999992</v>
      </c>
      <c r="F23" s="44">
        <f t="shared" si="3"/>
        <v>204.73000000000002</v>
      </c>
      <c r="G23" s="154"/>
    </row>
    <row r="24" spans="1:7" x14ac:dyDescent="0.3">
      <c r="A24" s="43" t="s">
        <v>20</v>
      </c>
      <c r="B24" s="120">
        <f>50+115+1500-1500+50+50+720+750+84+110+90+45</f>
        <v>2064</v>
      </c>
      <c r="C24" s="111">
        <v>2100.2800000000002</v>
      </c>
      <c r="D24" s="111"/>
      <c r="E24" s="125">
        <f t="shared" si="2"/>
        <v>1.0175775193798451</v>
      </c>
      <c r="F24" s="44">
        <f t="shared" si="3"/>
        <v>-36.2800000000002</v>
      </c>
      <c r="G24" s="154"/>
    </row>
    <row r="25" spans="1:7" x14ac:dyDescent="0.3">
      <c r="A25" s="43" t="s">
        <v>21</v>
      </c>
      <c r="B25" s="120">
        <f>400+400+400</f>
        <v>1200</v>
      </c>
      <c r="C25" s="128"/>
      <c r="D25" s="128"/>
      <c r="E25" s="125">
        <f t="shared" si="2"/>
        <v>0</v>
      </c>
      <c r="F25" s="44">
        <f t="shared" si="3"/>
        <v>1200</v>
      </c>
      <c r="G25" s="154"/>
    </row>
    <row r="26" spans="1:7" x14ac:dyDescent="0.3">
      <c r="A26" s="43" t="s">
        <v>22</v>
      </c>
      <c r="B26" s="120">
        <f>200+60+400+325</f>
        <v>985</v>
      </c>
      <c r="C26" s="111">
        <v>668.69</v>
      </c>
      <c r="D26" s="111"/>
      <c r="E26" s="125">
        <f t="shared" si="2"/>
        <v>0.67887309644670057</v>
      </c>
      <c r="F26" s="44">
        <f t="shared" si="3"/>
        <v>316.30999999999995</v>
      </c>
      <c r="G26" s="154"/>
    </row>
    <row r="27" spans="1:7" x14ac:dyDescent="0.3">
      <c r="A27" s="38" t="s">
        <v>61</v>
      </c>
      <c r="B27" s="120">
        <v>0</v>
      </c>
      <c r="C27" s="111"/>
      <c r="D27" s="111"/>
      <c r="E27" s="125"/>
      <c r="F27" s="44">
        <f t="shared" si="3"/>
        <v>0</v>
      </c>
      <c r="G27" s="154"/>
    </row>
    <row r="28" spans="1:7" x14ac:dyDescent="0.3">
      <c r="A28" s="38" t="s">
        <v>60</v>
      </c>
      <c r="B28" s="120">
        <f>400+400+400</f>
        <v>1200</v>
      </c>
      <c r="C28" s="128">
        <v>650.09</v>
      </c>
      <c r="D28" s="128"/>
      <c r="E28" s="125">
        <f t="shared" si="2"/>
        <v>0.54174166666666668</v>
      </c>
      <c r="F28" s="44">
        <f t="shared" si="3"/>
        <v>549.91</v>
      </c>
      <c r="G28" s="154"/>
    </row>
    <row r="29" spans="1:7" x14ac:dyDescent="0.3">
      <c r="A29" s="43" t="s">
        <v>24</v>
      </c>
      <c r="B29" s="120">
        <f>400+400+400+400+400</f>
        <v>2000</v>
      </c>
      <c r="C29" s="128">
        <v>1008</v>
      </c>
      <c r="D29" s="128"/>
      <c r="E29" s="125">
        <f t="shared" si="2"/>
        <v>0.504</v>
      </c>
      <c r="F29" s="44">
        <f t="shared" si="3"/>
        <v>992</v>
      </c>
      <c r="G29" s="154"/>
    </row>
    <row r="30" spans="1:7" x14ac:dyDescent="0.3">
      <c r="A30" s="38" t="s">
        <v>59</v>
      </c>
      <c r="B30" s="120">
        <v>0</v>
      </c>
      <c r="C30" s="129">
        <v>500</v>
      </c>
      <c r="D30" s="129"/>
      <c r="E30" s="125"/>
      <c r="F30" s="44">
        <f t="shared" si="3"/>
        <v>-500</v>
      </c>
      <c r="G30" s="154"/>
    </row>
    <row r="31" spans="1:7" x14ac:dyDescent="0.3">
      <c r="A31" s="50" t="s">
        <v>55</v>
      </c>
      <c r="B31" s="120">
        <v>0</v>
      </c>
      <c r="C31" s="98">
        <v>307.67</v>
      </c>
      <c r="D31" s="98"/>
      <c r="E31" s="126"/>
      <c r="F31" s="131">
        <f t="shared" si="3"/>
        <v>-307.67</v>
      </c>
      <c r="G31" s="154"/>
    </row>
    <row r="32" spans="1:7" s="48" customFormat="1" x14ac:dyDescent="0.3">
      <c r="A32" s="141" t="s">
        <v>27</v>
      </c>
      <c r="B32" s="52">
        <f>SUM(B15:B31)</f>
        <v>20199</v>
      </c>
      <c r="C32" s="139">
        <f>SUM(C15:C31)</f>
        <v>14548.050000000003</v>
      </c>
      <c r="D32" s="139"/>
      <c r="E32" s="143">
        <f t="shared" si="2"/>
        <v>0.72023615030447063</v>
      </c>
      <c r="F32" s="144">
        <f t="shared" si="3"/>
        <v>5650.9499999999971</v>
      </c>
      <c r="G32" s="155"/>
    </row>
    <row r="33" spans="1:7" x14ac:dyDescent="0.3">
      <c r="A33" s="53"/>
      <c r="B33" s="133"/>
      <c r="C33" s="100"/>
      <c r="D33" s="100"/>
      <c r="E33" s="46"/>
      <c r="F33" s="46"/>
      <c r="G33" s="153"/>
    </row>
    <row r="34" spans="1:7" x14ac:dyDescent="0.3">
      <c r="A34" s="55" t="s">
        <v>28</v>
      </c>
      <c r="B34" s="132"/>
      <c r="C34" s="100"/>
      <c r="D34" s="100"/>
      <c r="E34" s="46"/>
      <c r="F34" s="46"/>
      <c r="G34" s="153"/>
    </row>
    <row r="35" spans="1:7" x14ac:dyDescent="0.3">
      <c r="A35" s="38" t="s">
        <v>94</v>
      </c>
      <c r="B35" s="120">
        <f>150+700+200+450</f>
        <v>1500</v>
      </c>
      <c r="C35" s="111">
        <v>726.05</v>
      </c>
      <c r="D35" s="111"/>
      <c r="E35" s="125">
        <f t="shared" ref="E35:E58" si="4">+C35/B35</f>
        <v>0.48403333333333332</v>
      </c>
      <c r="F35" s="44">
        <f>B35-C35</f>
        <v>773.95</v>
      </c>
      <c r="G35" s="154"/>
    </row>
    <row r="36" spans="1:7" x14ac:dyDescent="0.3">
      <c r="A36" s="43" t="s">
        <v>29</v>
      </c>
      <c r="B36" s="132">
        <f>1020+70+80+400-920</f>
        <v>650</v>
      </c>
      <c r="C36" s="128">
        <v>99</v>
      </c>
      <c r="D36" s="128"/>
      <c r="E36" s="125">
        <f t="shared" si="4"/>
        <v>0.15230769230769231</v>
      </c>
      <c r="F36" s="44">
        <f t="shared" ref="F36:F56" si="5">B36-C36</f>
        <v>551</v>
      </c>
      <c r="G36" s="154"/>
    </row>
    <row r="37" spans="1:7" x14ac:dyDescent="0.3">
      <c r="A37" s="43" t="s">
        <v>30</v>
      </c>
      <c r="B37" s="132">
        <v>920</v>
      </c>
      <c r="C37" s="128">
        <v>756</v>
      </c>
      <c r="D37" s="128"/>
      <c r="E37" s="125">
        <f t="shared" si="4"/>
        <v>0.82173913043478264</v>
      </c>
      <c r="F37" s="44">
        <f t="shared" si="5"/>
        <v>164</v>
      </c>
      <c r="G37" s="154"/>
    </row>
    <row r="38" spans="1:7" x14ac:dyDescent="0.3">
      <c r="A38" s="43" t="s">
        <v>31</v>
      </c>
      <c r="B38" s="132">
        <f>60+275</f>
        <v>335</v>
      </c>
      <c r="C38" s="128"/>
      <c r="D38" s="128"/>
      <c r="E38" s="125">
        <f t="shared" si="4"/>
        <v>0</v>
      </c>
      <c r="F38" s="44">
        <f t="shared" si="5"/>
        <v>335</v>
      </c>
      <c r="G38" s="154"/>
    </row>
    <row r="39" spans="1:7" x14ac:dyDescent="0.3">
      <c r="A39" s="43" t="s">
        <v>32</v>
      </c>
      <c r="B39" s="132">
        <v>1200</v>
      </c>
      <c r="C39" s="128">
        <v>350</v>
      </c>
      <c r="D39" s="128"/>
      <c r="E39" s="125">
        <f t="shared" si="4"/>
        <v>0.29166666666666669</v>
      </c>
      <c r="F39" s="44">
        <f t="shared" si="5"/>
        <v>850</v>
      </c>
      <c r="G39" s="154"/>
    </row>
    <row r="40" spans="1:7" x14ac:dyDescent="0.3">
      <c r="A40" s="43" t="s">
        <v>33</v>
      </c>
      <c r="B40" s="132">
        <f>100+100</f>
        <v>200</v>
      </c>
      <c r="C40" s="128">
        <v>78.010000000000005</v>
      </c>
      <c r="D40" s="128"/>
      <c r="E40" s="125">
        <f t="shared" si="4"/>
        <v>0.39005000000000001</v>
      </c>
      <c r="F40" s="44">
        <f t="shared" si="5"/>
        <v>121.99</v>
      </c>
      <c r="G40" s="154"/>
    </row>
    <row r="41" spans="1:7" x14ac:dyDescent="0.3">
      <c r="A41" s="43" t="s">
        <v>34</v>
      </c>
      <c r="B41" s="132">
        <v>1000</v>
      </c>
      <c r="C41" s="128">
        <v>560</v>
      </c>
      <c r="D41" s="128"/>
      <c r="E41" s="125">
        <f t="shared" si="4"/>
        <v>0.56000000000000005</v>
      </c>
      <c r="F41" s="44">
        <f t="shared" si="5"/>
        <v>440</v>
      </c>
      <c r="G41" s="154"/>
    </row>
    <row r="42" spans="1:7" x14ac:dyDescent="0.3">
      <c r="A42" s="43" t="s">
        <v>35</v>
      </c>
      <c r="B42" s="132">
        <v>50</v>
      </c>
      <c r="C42" s="128">
        <v>6.25</v>
      </c>
      <c r="D42" s="128"/>
      <c r="E42" s="125">
        <f t="shared" si="4"/>
        <v>0.125</v>
      </c>
      <c r="F42" s="44">
        <f t="shared" si="5"/>
        <v>43.75</v>
      </c>
      <c r="G42" s="154"/>
    </row>
    <row r="43" spans="1:7" x14ac:dyDescent="0.3">
      <c r="A43" s="43" t="s">
        <v>36</v>
      </c>
      <c r="B43" s="132">
        <f>100</f>
        <v>100</v>
      </c>
      <c r="C43" s="128"/>
      <c r="D43" s="128"/>
      <c r="E43" s="125">
        <f t="shared" si="4"/>
        <v>0</v>
      </c>
      <c r="F43" s="44">
        <f t="shared" si="5"/>
        <v>100</v>
      </c>
      <c r="G43" s="154"/>
    </row>
    <row r="44" spans="1:7" x14ac:dyDescent="0.3">
      <c r="A44" s="43" t="s">
        <v>37</v>
      </c>
      <c r="B44" s="132">
        <v>0</v>
      </c>
      <c r="C44" s="128"/>
      <c r="D44" s="128"/>
      <c r="E44" s="125" t="e">
        <f t="shared" si="4"/>
        <v>#DIV/0!</v>
      </c>
      <c r="F44" s="44">
        <f t="shared" si="5"/>
        <v>0</v>
      </c>
      <c r="G44" s="154"/>
    </row>
    <row r="45" spans="1:7" x14ac:dyDescent="0.3">
      <c r="A45" s="43" t="s">
        <v>38</v>
      </c>
      <c r="B45" s="132">
        <v>100</v>
      </c>
      <c r="C45" s="128"/>
      <c r="D45" s="128"/>
      <c r="E45" s="125">
        <f t="shared" si="4"/>
        <v>0</v>
      </c>
      <c r="F45" s="44">
        <f t="shared" si="5"/>
        <v>100</v>
      </c>
      <c r="G45" s="154"/>
    </row>
    <row r="46" spans="1:7" x14ac:dyDescent="0.3">
      <c r="A46" s="43" t="s">
        <v>39</v>
      </c>
      <c r="B46" s="132">
        <v>100</v>
      </c>
      <c r="C46" s="128"/>
      <c r="D46" s="128"/>
      <c r="E46" s="125">
        <f t="shared" si="4"/>
        <v>0</v>
      </c>
      <c r="F46" s="44">
        <f t="shared" si="5"/>
        <v>100</v>
      </c>
      <c r="G46" s="154"/>
    </row>
    <row r="47" spans="1:7" x14ac:dyDescent="0.3">
      <c r="A47" s="37" t="s">
        <v>132</v>
      </c>
      <c r="B47" s="132">
        <v>2000</v>
      </c>
      <c r="C47" s="106">
        <v>2553.27</v>
      </c>
      <c r="D47" s="106"/>
      <c r="E47" s="125">
        <f t="shared" si="4"/>
        <v>1.276635</v>
      </c>
      <c r="F47" s="44">
        <f t="shared" si="5"/>
        <v>-553.27</v>
      </c>
      <c r="G47" s="154"/>
    </row>
    <row r="48" spans="1:7" x14ac:dyDescent="0.3">
      <c r="A48" s="43" t="s">
        <v>40</v>
      </c>
      <c r="B48" s="132">
        <v>600</v>
      </c>
      <c r="C48" s="128">
        <v>540</v>
      </c>
      <c r="D48" s="128"/>
      <c r="E48" s="125">
        <f t="shared" si="4"/>
        <v>0.9</v>
      </c>
      <c r="F48" s="44">
        <f t="shared" si="5"/>
        <v>60</v>
      </c>
      <c r="G48" s="154"/>
    </row>
    <row r="49" spans="1:9" x14ac:dyDescent="0.3">
      <c r="A49" s="43" t="s">
        <v>41</v>
      </c>
      <c r="B49" s="132">
        <f>75+75+50+50+132</f>
        <v>382</v>
      </c>
      <c r="C49" s="128">
        <v>44.39</v>
      </c>
      <c r="D49" s="128"/>
      <c r="E49" s="125">
        <f t="shared" si="4"/>
        <v>0.11620418848167539</v>
      </c>
      <c r="F49" s="44">
        <f t="shared" si="5"/>
        <v>337.61</v>
      </c>
      <c r="G49" s="154"/>
    </row>
    <row r="50" spans="1:9" x14ac:dyDescent="0.3">
      <c r="A50" s="43" t="s">
        <v>42</v>
      </c>
      <c r="B50" s="132">
        <f>225+50+100</f>
        <v>375</v>
      </c>
      <c r="C50" s="128">
        <v>32.75</v>
      </c>
      <c r="D50" s="128"/>
      <c r="E50" s="125">
        <f t="shared" si="4"/>
        <v>8.7333333333333332E-2</v>
      </c>
      <c r="F50" s="44">
        <f t="shared" si="5"/>
        <v>342.25</v>
      </c>
      <c r="G50" s="154"/>
    </row>
    <row r="51" spans="1:9" x14ac:dyDescent="0.3">
      <c r="A51" s="43" t="s">
        <v>58</v>
      </c>
      <c r="B51" s="132">
        <f>1300+300+200</f>
        <v>1800</v>
      </c>
      <c r="C51" s="128">
        <v>1980</v>
      </c>
      <c r="D51" s="128"/>
      <c r="E51" s="125">
        <f t="shared" si="4"/>
        <v>1.1000000000000001</v>
      </c>
      <c r="F51" s="44">
        <f t="shared" si="5"/>
        <v>-180</v>
      </c>
      <c r="G51" s="154"/>
    </row>
    <row r="52" spans="1:9" x14ac:dyDescent="0.3">
      <c r="A52" s="43" t="s">
        <v>44</v>
      </c>
      <c r="B52" s="132">
        <f>540+50+100-540</f>
        <v>150</v>
      </c>
      <c r="C52" s="128">
        <v>181.53</v>
      </c>
      <c r="D52" s="128"/>
      <c r="E52" s="125">
        <f t="shared" si="4"/>
        <v>1.2101999999999999</v>
      </c>
      <c r="F52" s="44">
        <f t="shared" si="5"/>
        <v>-31.53</v>
      </c>
      <c r="G52" s="154"/>
    </row>
    <row r="53" spans="1:9" x14ac:dyDescent="0.3">
      <c r="A53" s="43" t="s">
        <v>45</v>
      </c>
      <c r="B53" s="132">
        <f>30*12+140</f>
        <v>500</v>
      </c>
      <c r="C53" s="128">
        <v>709.4</v>
      </c>
      <c r="D53" s="128"/>
      <c r="E53" s="125">
        <f t="shared" si="4"/>
        <v>1.4188000000000001</v>
      </c>
      <c r="F53" s="44">
        <f t="shared" si="5"/>
        <v>-209.39999999999998</v>
      </c>
      <c r="G53" s="154"/>
    </row>
    <row r="54" spans="1:9" x14ac:dyDescent="0.3">
      <c r="A54" s="37" t="s">
        <v>62</v>
      </c>
      <c r="B54" s="132">
        <v>75</v>
      </c>
      <c r="C54" s="128"/>
      <c r="D54" s="128"/>
      <c r="E54" s="125">
        <f t="shared" si="4"/>
        <v>0</v>
      </c>
      <c r="F54" s="44">
        <f t="shared" si="5"/>
        <v>75</v>
      </c>
      <c r="G54" s="154"/>
    </row>
    <row r="55" spans="1:9" x14ac:dyDescent="0.3">
      <c r="A55" s="43"/>
      <c r="B55" s="132"/>
      <c r="C55" s="134"/>
      <c r="D55" s="134"/>
      <c r="E55" s="126"/>
      <c r="F55" s="131">
        <f t="shared" si="5"/>
        <v>0</v>
      </c>
      <c r="G55" s="154"/>
    </row>
    <row r="56" spans="1:9" s="48" customFormat="1" x14ac:dyDescent="0.3">
      <c r="A56" s="40" t="s">
        <v>47</v>
      </c>
      <c r="B56" s="57">
        <f>SUM(B36:B55)</f>
        <v>10537</v>
      </c>
      <c r="C56" s="139">
        <f>SUM(C35:C55)</f>
        <v>8616.65</v>
      </c>
      <c r="D56" s="139"/>
      <c r="E56" s="143">
        <f t="shared" si="4"/>
        <v>0.81775173199202811</v>
      </c>
      <c r="F56" s="145">
        <f t="shared" si="5"/>
        <v>1920.3500000000004</v>
      </c>
      <c r="G56" s="155"/>
    </row>
    <row r="57" spans="1:9" x14ac:dyDescent="0.3">
      <c r="A57" s="58"/>
      <c r="B57" s="56"/>
      <c r="C57" s="100"/>
      <c r="D57" s="100"/>
      <c r="E57" s="135"/>
      <c r="F57" s="135"/>
      <c r="G57" s="153"/>
    </row>
    <row r="58" spans="1:9" s="48" customFormat="1" ht="15" thickBot="1" x14ac:dyDescent="0.35">
      <c r="A58" s="40" t="s">
        <v>48</v>
      </c>
      <c r="B58" s="45">
        <f>SUM(B32+B56)</f>
        <v>30736</v>
      </c>
      <c r="C58" s="138">
        <f>C32+C56</f>
        <v>23164.700000000004</v>
      </c>
      <c r="D58" s="138"/>
      <c r="E58" s="146">
        <f t="shared" si="4"/>
        <v>0.75366671004685071</v>
      </c>
      <c r="F58" s="45">
        <f>B58-C58</f>
        <v>7571.2999999999956</v>
      </c>
      <c r="G58" s="157"/>
      <c r="I58" s="59"/>
    </row>
    <row r="59" spans="1:9" ht="15.6" thickTop="1" thickBot="1" x14ac:dyDescent="0.35">
      <c r="A59" s="43"/>
      <c r="B59" s="60"/>
      <c r="C59" s="101"/>
      <c r="D59" s="101"/>
      <c r="E59" s="136"/>
      <c r="F59" s="136"/>
      <c r="G59" s="153"/>
    </row>
    <row r="60" spans="1:9" s="48" customFormat="1" ht="15.6" thickTop="1" thickBot="1" x14ac:dyDescent="0.35">
      <c r="A60" s="61" t="s">
        <v>52</v>
      </c>
      <c r="B60" s="62">
        <f>+B12-B58</f>
        <v>-2810</v>
      </c>
      <c r="C60" s="140">
        <f>C12-C58</f>
        <v>28432.959999999992</v>
      </c>
      <c r="D60" s="140"/>
      <c r="E60" s="137"/>
      <c r="F60" s="137"/>
      <c r="G60" s="156"/>
      <c r="I60" s="59"/>
    </row>
    <row r="61" spans="1:9" s="48" customFormat="1" ht="15" thickTop="1" x14ac:dyDescent="0.3">
      <c r="A61" s="61"/>
      <c r="B61" s="63"/>
      <c r="C61" s="103"/>
      <c r="D61" s="103"/>
      <c r="E61" s="130"/>
      <c r="F61" s="130"/>
      <c r="G61" s="156"/>
      <c r="I61" s="59"/>
    </row>
    <row r="62" spans="1:9" x14ac:dyDescent="0.3">
      <c r="A62" s="37" t="s">
        <v>88</v>
      </c>
      <c r="B62" s="44">
        <f>+B58*0.75</f>
        <v>23052</v>
      </c>
      <c r="C62" s="95"/>
      <c r="D62" s="95"/>
      <c r="E62" s="46"/>
      <c r="F62" s="46"/>
      <c r="G62" s="153"/>
    </row>
    <row r="63" spans="1:9" ht="15" thickBot="1" x14ac:dyDescent="0.35">
      <c r="A63" s="64"/>
      <c r="B63" s="113"/>
      <c r="C63" s="114"/>
      <c r="D63" s="114"/>
      <c r="E63" s="127"/>
      <c r="F63" s="127"/>
      <c r="G63" s="153"/>
    </row>
    <row r="64" spans="1:9" s="67" customFormat="1" x14ac:dyDescent="0.3">
      <c r="A64" s="66"/>
      <c r="B64" s="68"/>
      <c r="C64" s="104"/>
      <c r="D64" s="104"/>
      <c r="H64" s="69"/>
      <c r="I64" s="69"/>
    </row>
  </sheetData>
  <mergeCells count="3">
    <mergeCell ref="A1:F1"/>
    <mergeCell ref="A2:F2"/>
    <mergeCell ref="A3:F3"/>
  </mergeCells>
  <pageMargins left="0.25" right="0.25" top="0.75" bottom="0.75" header="0.3" footer="0.3"/>
  <pageSetup orientation="portrait" r:id="rId1"/>
  <rowBreaks count="1" manualBreakCount="1">
    <brk id="32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9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:E2"/>
    </sheetView>
  </sheetViews>
  <sheetFormatPr defaultColWidth="9.109375" defaultRowHeight="14.4" x14ac:dyDescent="0.3"/>
  <cols>
    <col min="1" max="1" width="31.88671875" style="39" customWidth="1"/>
    <col min="2" max="2" width="16.6640625" style="70" customWidth="1"/>
    <col min="3" max="3" width="17" style="105" customWidth="1"/>
    <col min="4" max="4" width="18.88671875" style="105" customWidth="1"/>
    <col min="5" max="5" width="58.6640625" style="105" customWidth="1"/>
    <col min="6" max="6" width="18" style="39" customWidth="1"/>
    <col min="7" max="16384" width="9.109375" style="39"/>
  </cols>
  <sheetData>
    <row r="1" spans="1:7" ht="25.8" x14ac:dyDescent="0.5">
      <c r="A1" s="189" t="s">
        <v>187</v>
      </c>
      <c r="B1" s="189"/>
      <c r="C1" s="189"/>
      <c r="D1" s="189"/>
      <c r="E1" s="189"/>
      <c r="F1" s="150"/>
    </row>
    <row r="2" spans="1:7" ht="18" x14ac:dyDescent="0.35">
      <c r="A2" s="186" t="s">
        <v>140</v>
      </c>
      <c r="B2" s="186"/>
      <c r="C2" s="186"/>
      <c r="D2" s="186"/>
      <c r="E2" s="186"/>
      <c r="F2" s="149"/>
    </row>
    <row r="3" spans="1:7" ht="18.600000000000001" thickBot="1" x14ac:dyDescent="0.4">
      <c r="A3" s="190">
        <v>43786</v>
      </c>
      <c r="B3" s="190"/>
      <c r="C3" s="191"/>
      <c r="D3" s="190"/>
      <c r="E3" s="190"/>
      <c r="F3" s="151"/>
    </row>
    <row r="4" spans="1:7" ht="64.5" customHeight="1" thickBot="1" x14ac:dyDescent="0.35">
      <c r="A4" s="118"/>
      <c r="B4" s="160" t="s">
        <v>135</v>
      </c>
      <c r="C4" s="162" t="s">
        <v>136</v>
      </c>
      <c r="D4" s="168" t="s">
        <v>138</v>
      </c>
      <c r="E4" s="163" t="s">
        <v>139</v>
      </c>
      <c r="F4" s="152"/>
    </row>
    <row r="5" spans="1:7" x14ac:dyDescent="0.3">
      <c r="A5" s="40" t="s">
        <v>0</v>
      </c>
      <c r="B5" s="121"/>
      <c r="C5" s="161"/>
      <c r="D5" s="169"/>
      <c r="E5" s="94"/>
      <c r="F5" s="153"/>
    </row>
    <row r="6" spans="1:7" x14ac:dyDescent="0.3">
      <c r="A6" s="43" t="s">
        <v>1</v>
      </c>
      <c r="B6" s="122">
        <v>25924</v>
      </c>
      <c r="C6" s="106">
        <f>20532.66+3329.16</f>
        <v>23861.82</v>
      </c>
      <c r="D6" s="170">
        <v>26000</v>
      </c>
      <c r="E6" s="106" t="s">
        <v>159</v>
      </c>
      <c r="F6" s="154"/>
      <c r="G6" s="2"/>
    </row>
    <row r="7" spans="1:7" x14ac:dyDescent="0.3">
      <c r="A7" s="43" t="s">
        <v>57</v>
      </c>
      <c r="B7" s="122">
        <v>0</v>
      </c>
      <c r="C7" s="95"/>
      <c r="D7" s="171"/>
      <c r="E7" s="95"/>
      <c r="F7" s="154"/>
    </row>
    <row r="8" spans="1:7" x14ac:dyDescent="0.3">
      <c r="A8" s="43" t="s">
        <v>53</v>
      </c>
      <c r="B8" s="122">
        <v>0</v>
      </c>
      <c r="C8" s="95"/>
      <c r="D8" s="171"/>
      <c r="E8" s="95"/>
      <c r="F8" s="154"/>
    </row>
    <row r="9" spans="1:7" x14ac:dyDescent="0.3">
      <c r="A9" s="43" t="s">
        <v>54</v>
      </c>
      <c r="B9" s="122">
        <v>0</v>
      </c>
      <c r="C9" s="106">
        <v>26164.79</v>
      </c>
      <c r="D9" s="170"/>
      <c r="E9" s="181" t="s">
        <v>142</v>
      </c>
      <c r="F9" s="154"/>
    </row>
    <row r="10" spans="1:7" x14ac:dyDescent="0.3">
      <c r="A10" s="43" t="s">
        <v>2</v>
      </c>
      <c r="B10" s="122">
        <v>2</v>
      </c>
      <c r="C10" s="106">
        <v>2.7</v>
      </c>
      <c r="D10" s="170">
        <v>3</v>
      </c>
      <c r="E10" s="106" t="s">
        <v>143</v>
      </c>
      <c r="F10" s="154"/>
    </row>
    <row r="11" spans="1:7" x14ac:dyDescent="0.3">
      <c r="A11" s="43" t="s">
        <v>3</v>
      </c>
      <c r="B11" s="122">
        <v>2000</v>
      </c>
      <c r="C11" s="106">
        <v>1568.35</v>
      </c>
      <c r="D11" s="170">
        <v>3600</v>
      </c>
      <c r="E11" s="106" t="s">
        <v>144</v>
      </c>
      <c r="F11" s="154"/>
    </row>
    <row r="12" spans="1:7" ht="15" thickBot="1" x14ac:dyDescent="0.35">
      <c r="A12" s="40" t="s">
        <v>4</v>
      </c>
      <c r="B12" s="123">
        <f>SUM(B6:B11)</f>
        <v>27926</v>
      </c>
      <c r="C12" s="138">
        <f>SUM(C6:C11)</f>
        <v>51597.659999999996</v>
      </c>
      <c r="D12" s="172">
        <f>SUM(D6:D11)</f>
        <v>29603</v>
      </c>
      <c r="E12" s="138"/>
      <c r="F12" s="155"/>
    </row>
    <row r="13" spans="1:7" ht="15" thickTop="1" x14ac:dyDescent="0.3">
      <c r="A13" s="43"/>
      <c r="B13" s="43"/>
      <c r="C13" s="97"/>
      <c r="D13" s="173"/>
      <c r="E13" s="97"/>
      <c r="F13" s="153"/>
    </row>
    <row r="14" spans="1:7" s="48" customFormat="1" x14ac:dyDescent="0.3">
      <c r="A14" s="40" t="s">
        <v>10</v>
      </c>
      <c r="B14" s="119"/>
      <c r="C14" s="112"/>
      <c r="D14" s="174"/>
      <c r="E14" s="112"/>
      <c r="F14" s="159" t="s">
        <v>153</v>
      </c>
    </row>
    <row r="15" spans="1:7" x14ac:dyDescent="0.3">
      <c r="A15" s="43" t="s">
        <v>11</v>
      </c>
      <c r="B15" s="120">
        <v>8000</v>
      </c>
      <c r="C15" s="111">
        <v>5465.78</v>
      </c>
      <c r="D15" s="175">
        <v>8000</v>
      </c>
      <c r="E15" s="111" t="s">
        <v>145</v>
      </c>
      <c r="F15" s="158">
        <f>SUM(F16:F58)</f>
        <v>5003</v>
      </c>
    </row>
    <row r="16" spans="1:7" ht="43.2" x14ac:dyDescent="0.3">
      <c r="A16" s="50" t="s">
        <v>12</v>
      </c>
      <c r="B16" s="120">
        <v>1800</v>
      </c>
      <c r="C16" s="128">
        <v>1800</v>
      </c>
      <c r="D16" s="167">
        <f>2000+5000</f>
        <v>7000</v>
      </c>
      <c r="E16" s="182" t="s">
        <v>185</v>
      </c>
      <c r="F16" s="154"/>
    </row>
    <row r="17" spans="1:9" ht="28.95" customHeight="1" x14ac:dyDescent="0.3">
      <c r="A17" s="43" t="s">
        <v>13</v>
      </c>
      <c r="B17" s="120">
        <v>600</v>
      </c>
      <c r="C17" s="111">
        <v>929.22</v>
      </c>
      <c r="D17" s="175">
        <f>775+275+125</f>
        <v>1175</v>
      </c>
      <c r="E17" s="111" t="s">
        <v>152</v>
      </c>
      <c r="F17" s="154">
        <f>1200*0.3</f>
        <v>360</v>
      </c>
    </row>
    <row r="18" spans="1:9" ht="28.8" x14ac:dyDescent="0.3">
      <c r="A18" s="43" t="s">
        <v>14</v>
      </c>
      <c r="B18" s="120">
        <v>190</v>
      </c>
      <c r="C18" s="111">
        <v>14.45</v>
      </c>
      <c r="D18" s="167">
        <v>0</v>
      </c>
      <c r="E18" s="128" t="s">
        <v>162</v>
      </c>
      <c r="F18" s="154"/>
    </row>
    <row r="19" spans="1:9" x14ac:dyDescent="0.3">
      <c r="A19" s="43" t="s">
        <v>15</v>
      </c>
      <c r="B19" s="120">
        <f>585+25</f>
        <v>610</v>
      </c>
      <c r="C19" s="111">
        <v>213.34</v>
      </c>
      <c r="D19" s="175">
        <f>50+25+400</f>
        <v>475</v>
      </c>
      <c r="E19" s="111" t="s">
        <v>184</v>
      </c>
      <c r="F19" s="154">
        <v>300</v>
      </c>
      <c r="I19" s="2"/>
    </row>
    <row r="20" spans="1:9" x14ac:dyDescent="0.3">
      <c r="A20" s="37" t="s">
        <v>146</v>
      </c>
      <c r="B20" s="120"/>
      <c r="C20" s="111"/>
      <c r="D20" s="175">
        <v>0</v>
      </c>
      <c r="E20" s="111" t="s">
        <v>147</v>
      </c>
      <c r="F20" s="154">
        <v>200</v>
      </c>
    </row>
    <row r="21" spans="1:9" x14ac:dyDescent="0.3">
      <c r="A21" s="43" t="s">
        <v>16</v>
      </c>
      <c r="B21" s="120">
        <v>250</v>
      </c>
      <c r="C21" s="128">
        <v>23.43</v>
      </c>
      <c r="D21" s="167">
        <v>100</v>
      </c>
      <c r="E21" s="128" t="s">
        <v>148</v>
      </c>
      <c r="F21" s="154">
        <v>200</v>
      </c>
    </row>
    <row r="22" spans="1:9" x14ac:dyDescent="0.3">
      <c r="A22" s="37" t="s">
        <v>161</v>
      </c>
      <c r="B22" s="120">
        <v>50</v>
      </c>
      <c r="C22" s="128">
        <v>117.93</v>
      </c>
      <c r="D22" s="167">
        <v>300</v>
      </c>
      <c r="E22" s="128" t="s">
        <v>150</v>
      </c>
      <c r="F22" s="154">
        <v>300</v>
      </c>
    </row>
    <row r="23" spans="1:9" ht="28.8" x14ac:dyDescent="0.3">
      <c r="A23" s="43" t="s">
        <v>18</v>
      </c>
      <c r="B23" s="120">
        <v>625</v>
      </c>
      <c r="C23" s="111">
        <v>328.9</v>
      </c>
      <c r="D23" s="176">
        <v>625</v>
      </c>
      <c r="E23" s="164" t="s">
        <v>163</v>
      </c>
      <c r="F23" s="154"/>
    </row>
    <row r="24" spans="1:9" x14ac:dyDescent="0.3">
      <c r="A24" s="50" t="s">
        <v>19</v>
      </c>
      <c r="B24" s="120">
        <v>625</v>
      </c>
      <c r="C24" s="128">
        <v>420.27</v>
      </c>
      <c r="D24" s="167">
        <v>600</v>
      </c>
      <c r="E24" s="128"/>
      <c r="F24" s="154"/>
    </row>
    <row r="25" spans="1:9" ht="43.2" x14ac:dyDescent="0.3">
      <c r="A25" s="43" t="s">
        <v>20</v>
      </c>
      <c r="B25" s="120">
        <f>50+115+1500-1500+50+50+720+750+84+110+90+45</f>
        <v>2064</v>
      </c>
      <c r="C25" s="111">
        <v>2100.2800000000002</v>
      </c>
      <c r="D25" s="175">
        <f>110+80+176+40+840+110+775+96</f>
        <v>2227</v>
      </c>
      <c r="E25" s="111" t="s">
        <v>164</v>
      </c>
      <c r="F25" s="154"/>
    </row>
    <row r="26" spans="1:9" x14ac:dyDescent="0.3">
      <c r="A26" s="43" t="s">
        <v>21</v>
      </c>
      <c r="B26" s="120">
        <f>400+400+400</f>
        <v>1200</v>
      </c>
      <c r="C26" s="128"/>
      <c r="D26" s="167">
        <v>0</v>
      </c>
      <c r="E26" s="128" t="s">
        <v>155</v>
      </c>
      <c r="F26" s="154"/>
    </row>
    <row r="27" spans="1:9" x14ac:dyDescent="0.3">
      <c r="A27" s="43" t="s">
        <v>22</v>
      </c>
      <c r="B27" s="120">
        <f>200+60+400+325</f>
        <v>985</v>
      </c>
      <c r="C27" s="111">
        <v>668.69</v>
      </c>
      <c r="D27" s="175">
        <v>0</v>
      </c>
      <c r="E27" s="128" t="s">
        <v>155</v>
      </c>
      <c r="F27" s="154"/>
    </row>
    <row r="28" spans="1:9" x14ac:dyDescent="0.3">
      <c r="A28" s="38" t="s">
        <v>61</v>
      </c>
      <c r="B28" s="120">
        <v>0</v>
      </c>
      <c r="C28" s="111"/>
      <c r="D28" s="175"/>
      <c r="E28" s="111" t="s">
        <v>156</v>
      </c>
      <c r="F28" s="154"/>
    </row>
    <row r="29" spans="1:9" x14ac:dyDescent="0.3">
      <c r="A29" s="38" t="s">
        <v>60</v>
      </c>
      <c r="B29" s="120">
        <f>400+400+400</f>
        <v>1200</v>
      </c>
      <c r="C29" s="128">
        <v>650.09</v>
      </c>
      <c r="D29" s="175">
        <v>1350</v>
      </c>
      <c r="E29" s="111" t="s">
        <v>165</v>
      </c>
      <c r="F29" s="154">
        <v>1200</v>
      </c>
    </row>
    <row r="30" spans="1:9" ht="43.2" x14ac:dyDescent="0.3">
      <c r="A30" s="43" t="s">
        <v>24</v>
      </c>
      <c r="B30" s="120">
        <f>400+400+400+400+400</f>
        <v>2000</v>
      </c>
      <c r="C30" s="128">
        <v>1008</v>
      </c>
      <c r="D30" s="167">
        <f>400*5</f>
        <v>2000</v>
      </c>
      <c r="E30" s="106" t="s">
        <v>98</v>
      </c>
      <c r="F30" s="154"/>
    </row>
    <row r="31" spans="1:9" x14ac:dyDescent="0.3">
      <c r="A31" s="38" t="s">
        <v>59</v>
      </c>
      <c r="B31" s="120">
        <v>0</v>
      </c>
      <c r="C31" s="111">
        <v>500</v>
      </c>
      <c r="D31" s="175">
        <v>500</v>
      </c>
      <c r="E31" s="181" t="s">
        <v>157</v>
      </c>
      <c r="F31" s="154"/>
    </row>
    <row r="32" spans="1:9" x14ac:dyDescent="0.3">
      <c r="A32" s="50" t="s">
        <v>55</v>
      </c>
      <c r="B32" s="120">
        <v>0</v>
      </c>
      <c r="C32" s="183">
        <v>22867.19</v>
      </c>
      <c r="D32" s="177"/>
      <c r="E32" s="181" t="s">
        <v>160</v>
      </c>
      <c r="F32" s="154"/>
    </row>
    <row r="33" spans="1:6" s="48" customFormat="1" x14ac:dyDescent="0.3">
      <c r="A33" s="141" t="s">
        <v>27</v>
      </c>
      <c r="B33" s="52">
        <f>SUM(B15:B32)</f>
        <v>20199</v>
      </c>
      <c r="C33" s="139">
        <f>SUM(C15:C32)</f>
        <v>37107.57</v>
      </c>
      <c r="D33" s="178">
        <f>SUM(D15:D32)</f>
        <v>24352</v>
      </c>
      <c r="E33" s="139"/>
      <c r="F33" s="155"/>
    </row>
    <row r="34" spans="1:6" x14ac:dyDescent="0.3">
      <c r="A34" s="53"/>
      <c r="B34" s="133"/>
      <c r="C34" s="100"/>
      <c r="D34" s="179"/>
      <c r="E34" s="100"/>
      <c r="F34" s="153"/>
    </row>
    <row r="35" spans="1:6" x14ac:dyDescent="0.3">
      <c r="A35" s="55" t="s">
        <v>28</v>
      </c>
      <c r="B35" s="132"/>
      <c r="C35" s="100"/>
      <c r="D35" s="179"/>
      <c r="E35" s="100"/>
      <c r="F35" s="153"/>
    </row>
    <row r="36" spans="1:6" ht="28.8" x14ac:dyDescent="0.3">
      <c r="A36" s="38" t="s">
        <v>94</v>
      </c>
      <c r="B36" s="120">
        <f>150+700+200+450</f>
        <v>1500</v>
      </c>
      <c r="C36" s="111">
        <v>726.05</v>
      </c>
      <c r="D36" s="175">
        <v>200</v>
      </c>
      <c r="E36" s="111" t="s">
        <v>166</v>
      </c>
      <c r="F36" s="154">
        <v>300</v>
      </c>
    </row>
    <row r="37" spans="1:6" ht="28.8" x14ac:dyDescent="0.3">
      <c r="A37" s="43" t="s">
        <v>29</v>
      </c>
      <c r="B37" s="132">
        <f>1020+70+80+400-920</f>
        <v>650</v>
      </c>
      <c r="C37" s="128">
        <v>99</v>
      </c>
      <c r="D37" s="167">
        <v>635</v>
      </c>
      <c r="E37" s="128" t="s">
        <v>180</v>
      </c>
      <c r="F37" s="154"/>
    </row>
    <row r="38" spans="1:6" x14ac:dyDescent="0.3">
      <c r="A38" s="43" t="s">
        <v>30</v>
      </c>
      <c r="B38" s="132">
        <v>920</v>
      </c>
      <c r="C38" s="128">
        <v>756</v>
      </c>
      <c r="D38" s="167">
        <v>800</v>
      </c>
      <c r="E38" s="128" t="s">
        <v>183</v>
      </c>
      <c r="F38" s="154"/>
    </row>
    <row r="39" spans="1:6" x14ac:dyDescent="0.3">
      <c r="A39" s="43" t="s">
        <v>31</v>
      </c>
      <c r="B39" s="132">
        <f>60+275</f>
        <v>335</v>
      </c>
      <c r="C39" s="128"/>
      <c r="D39" s="167">
        <v>300</v>
      </c>
      <c r="E39" s="128" t="s">
        <v>167</v>
      </c>
      <c r="F39" s="154"/>
    </row>
    <row r="40" spans="1:6" ht="28.8" x14ac:dyDescent="0.3">
      <c r="A40" s="43" t="s">
        <v>32</v>
      </c>
      <c r="B40" s="132">
        <v>1200</v>
      </c>
      <c r="C40" s="128">
        <v>350</v>
      </c>
      <c r="D40" s="167">
        <v>1120</v>
      </c>
      <c r="E40" s="128" t="s">
        <v>168</v>
      </c>
      <c r="F40" s="154"/>
    </row>
    <row r="41" spans="1:6" x14ac:dyDescent="0.3">
      <c r="A41" s="43" t="s">
        <v>33</v>
      </c>
      <c r="B41" s="132">
        <f>100+100</f>
        <v>200</v>
      </c>
      <c r="C41" s="128">
        <v>78.010000000000005</v>
      </c>
      <c r="D41" s="167">
        <f>100+100</f>
        <v>200</v>
      </c>
      <c r="E41" s="128" t="s">
        <v>151</v>
      </c>
      <c r="F41" s="154">
        <v>125</v>
      </c>
    </row>
    <row r="42" spans="1:6" x14ac:dyDescent="0.3">
      <c r="A42" s="43" t="s">
        <v>34</v>
      </c>
      <c r="B42" s="132">
        <v>1000</v>
      </c>
      <c r="C42" s="128">
        <v>560</v>
      </c>
      <c r="D42" s="167">
        <v>1000</v>
      </c>
      <c r="E42" s="128" t="s">
        <v>169</v>
      </c>
      <c r="F42" s="154"/>
    </row>
    <row r="43" spans="1:6" x14ac:dyDescent="0.3">
      <c r="A43" s="43" t="s">
        <v>35</v>
      </c>
      <c r="B43" s="132">
        <v>50</v>
      </c>
      <c r="C43" s="128">
        <v>6.25</v>
      </c>
      <c r="D43" s="167">
        <v>50</v>
      </c>
      <c r="E43" s="128" t="s">
        <v>170</v>
      </c>
      <c r="F43" s="154"/>
    </row>
    <row r="44" spans="1:6" ht="28.8" x14ac:dyDescent="0.3">
      <c r="A44" s="43" t="s">
        <v>36</v>
      </c>
      <c r="B44" s="132">
        <f>100</f>
        <v>100</v>
      </c>
      <c r="C44" s="128"/>
      <c r="D44" s="167">
        <v>100</v>
      </c>
      <c r="E44" s="128" t="s">
        <v>171</v>
      </c>
      <c r="F44" s="154"/>
    </row>
    <row r="45" spans="1:6" x14ac:dyDescent="0.3">
      <c r="A45" s="43" t="s">
        <v>37</v>
      </c>
      <c r="B45" s="132">
        <v>0</v>
      </c>
      <c r="C45" s="128"/>
      <c r="D45" s="167">
        <v>110</v>
      </c>
      <c r="E45" s="128" t="s">
        <v>181</v>
      </c>
      <c r="F45" s="154"/>
    </row>
    <row r="46" spans="1:6" ht="28.8" x14ac:dyDescent="0.3">
      <c r="A46" s="43" t="s">
        <v>38</v>
      </c>
      <c r="B46" s="132">
        <v>100</v>
      </c>
      <c r="C46" s="128"/>
      <c r="D46" s="167">
        <f>100+25</f>
        <v>125</v>
      </c>
      <c r="E46" s="128" t="s">
        <v>172</v>
      </c>
      <c r="F46" s="154">
        <v>900</v>
      </c>
    </row>
    <row r="47" spans="1:6" x14ac:dyDescent="0.3">
      <c r="A47" s="43" t="s">
        <v>39</v>
      </c>
      <c r="B47" s="132">
        <v>100</v>
      </c>
      <c r="C47" s="128"/>
      <c r="D47" s="167">
        <f>500+100</f>
        <v>600</v>
      </c>
      <c r="E47" s="128" t="s">
        <v>149</v>
      </c>
      <c r="F47" s="154">
        <v>500</v>
      </c>
    </row>
    <row r="48" spans="1:6" x14ac:dyDescent="0.3">
      <c r="A48" s="37" t="s">
        <v>132</v>
      </c>
      <c r="B48" s="132">
        <v>2000</v>
      </c>
      <c r="C48" s="106">
        <v>2553.27</v>
      </c>
      <c r="D48" s="184">
        <v>3500</v>
      </c>
      <c r="E48" s="106" t="s">
        <v>141</v>
      </c>
      <c r="F48" s="154"/>
    </row>
    <row r="49" spans="1:8" x14ac:dyDescent="0.3">
      <c r="A49" s="43" t="s">
        <v>40</v>
      </c>
      <c r="B49" s="132">
        <v>600</v>
      </c>
      <c r="C49" s="128">
        <v>540</v>
      </c>
      <c r="D49" s="167">
        <v>1000</v>
      </c>
      <c r="E49" s="128" t="s">
        <v>154</v>
      </c>
      <c r="F49" s="154"/>
    </row>
    <row r="50" spans="1:8" x14ac:dyDescent="0.3">
      <c r="A50" s="43" t="s">
        <v>41</v>
      </c>
      <c r="B50" s="132">
        <f>75+75+50+50+132</f>
        <v>382</v>
      </c>
      <c r="C50" s="128">
        <v>44.39</v>
      </c>
      <c r="D50" s="167">
        <v>250</v>
      </c>
      <c r="E50" s="128" t="s">
        <v>173</v>
      </c>
      <c r="F50" s="154">
        <v>618</v>
      </c>
    </row>
    <row r="51" spans="1:8" x14ac:dyDescent="0.3">
      <c r="A51" s="43" t="s">
        <v>42</v>
      </c>
      <c r="B51" s="132">
        <f>225+50+100</f>
        <v>375</v>
      </c>
      <c r="C51" s="128">
        <v>32.75</v>
      </c>
      <c r="D51" s="184">
        <v>225</v>
      </c>
      <c r="E51" s="128" t="s">
        <v>174</v>
      </c>
      <c r="F51" s="154"/>
    </row>
    <row r="52" spans="1:8" x14ac:dyDescent="0.3">
      <c r="A52" s="43" t="s">
        <v>58</v>
      </c>
      <c r="B52" s="132">
        <f>1300+300+200</f>
        <v>1800</v>
      </c>
      <c r="C52" s="128">
        <v>1980</v>
      </c>
      <c r="D52" s="167">
        <v>3340</v>
      </c>
      <c r="E52" s="128" t="s">
        <v>175</v>
      </c>
      <c r="F52" s="154"/>
    </row>
    <row r="53" spans="1:8" x14ac:dyDescent="0.3">
      <c r="A53" s="43" t="s">
        <v>44</v>
      </c>
      <c r="B53" s="132">
        <f>540+50+100-540</f>
        <v>150</v>
      </c>
      <c r="C53" s="128">
        <v>181.53</v>
      </c>
      <c r="D53" s="167">
        <v>150</v>
      </c>
      <c r="E53" s="128" t="s">
        <v>176</v>
      </c>
      <c r="F53" s="154"/>
    </row>
    <row r="54" spans="1:8" x14ac:dyDescent="0.3">
      <c r="A54" s="43" t="s">
        <v>45</v>
      </c>
      <c r="B54" s="132">
        <f>30*12+140</f>
        <v>500</v>
      </c>
      <c r="C54" s="128">
        <v>709.4</v>
      </c>
      <c r="D54" s="167">
        <v>110</v>
      </c>
      <c r="E54" s="128" t="s">
        <v>182</v>
      </c>
      <c r="F54" s="154"/>
    </row>
    <row r="55" spans="1:8" ht="28.8" x14ac:dyDescent="0.3">
      <c r="A55" s="37" t="s">
        <v>177</v>
      </c>
      <c r="B55" s="132"/>
      <c r="C55" s="128"/>
      <c r="D55" s="167">
        <f>168+132</f>
        <v>300</v>
      </c>
      <c r="E55" s="128" t="s">
        <v>178</v>
      </c>
      <c r="F55" s="154"/>
    </row>
    <row r="56" spans="1:8" ht="28.8" x14ac:dyDescent="0.3">
      <c r="A56" s="37" t="s">
        <v>62</v>
      </c>
      <c r="B56" s="132">
        <v>75</v>
      </c>
      <c r="C56" s="128"/>
      <c r="D56" s="167">
        <f>300+50+500</f>
        <v>850</v>
      </c>
      <c r="E56" s="128" t="s">
        <v>179</v>
      </c>
      <c r="F56" s="154"/>
    </row>
    <row r="57" spans="1:8" x14ac:dyDescent="0.3">
      <c r="A57" s="43"/>
      <c r="B57" s="132"/>
      <c r="C57" s="134"/>
      <c r="D57" s="180"/>
      <c r="E57" s="134"/>
      <c r="F57" s="154"/>
    </row>
    <row r="58" spans="1:8" s="48" customFormat="1" x14ac:dyDescent="0.3">
      <c r="A58" s="40" t="s">
        <v>47</v>
      </c>
      <c r="B58" s="57">
        <f>SUM(B37:B57)</f>
        <v>10537</v>
      </c>
      <c r="C58" s="139">
        <f>SUM(C36:C57)</f>
        <v>8616.65</v>
      </c>
      <c r="D58" s="139">
        <f>SUM(D36:D57)</f>
        <v>14965</v>
      </c>
      <c r="E58" s="139"/>
      <c r="F58" s="155"/>
    </row>
    <row r="59" spans="1:8" x14ac:dyDescent="0.3">
      <c r="A59" s="58"/>
      <c r="B59" s="56"/>
      <c r="C59" s="100"/>
      <c r="D59" s="100"/>
      <c r="E59" s="100"/>
      <c r="F59" s="153"/>
    </row>
    <row r="60" spans="1:8" s="48" customFormat="1" ht="15" thickBot="1" x14ac:dyDescent="0.35">
      <c r="A60" s="40" t="s">
        <v>48</v>
      </c>
      <c r="B60" s="45">
        <f>SUM(B33+B58)</f>
        <v>30736</v>
      </c>
      <c r="C60" s="138">
        <f>C33+C58</f>
        <v>45724.22</v>
      </c>
      <c r="D60" s="138">
        <f>D33+D58</f>
        <v>39317</v>
      </c>
      <c r="E60" s="138"/>
      <c r="F60" s="157"/>
      <c r="H60" s="59"/>
    </row>
    <row r="61" spans="1:8" ht="15.6" thickTop="1" thickBot="1" x14ac:dyDescent="0.35">
      <c r="A61" s="43"/>
      <c r="B61" s="60"/>
      <c r="C61" s="101"/>
      <c r="D61" s="101"/>
      <c r="E61" s="101"/>
      <c r="F61" s="153"/>
    </row>
    <row r="62" spans="1:8" s="48" customFormat="1" ht="15.6" thickTop="1" thickBot="1" x14ac:dyDescent="0.35">
      <c r="A62" s="61" t="s">
        <v>52</v>
      </c>
      <c r="B62" s="62">
        <f>+B12-B60</f>
        <v>-2810</v>
      </c>
      <c r="C62" s="140">
        <f>C12-C60</f>
        <v>5873.4399999999951</v>
      </c>
      <c r="D62" s="185">
        <f>D12-D60</f>
        <v>-9714</v>
      </c>
      <c r="E62" s="166" t="s">
        <v>158</v>
      </c>
      <c r="F62" s="156"/>
      <c r="H62" s="59"/>
    </row>
    <row r="63" spans="1:8" s="48" customFormat="1" ht="15" thickTop="1" x14ac:dyDescent="0.3">
      <c r="A63" s="61"/>
      <c r="B63" s="63"/>
      <c r="C63" s="103"/>
      <c r="D63" s="103"/>
      <c r="E63" s="103"/>
      <c r="F63" s="156"/>
      <c r="H63" s="59"/>
    </row>
    <row r="64" spans="1:8" x14ac:dyDescent="0.3">
      <c r="A64" s="37" t="s">
        <v>88</v>
      </c>
      <c r="B64" s="44">
        <f>+B60*0.75</f>
        <v>23052</v>
      </c>
      <c r="C64" s="95"/>
      <c r="D64" s="44">
        <f>(+D60-5000)*0.75</f>
        <v>25737.75</v>
      </c>
      <c r="E64" s="95"/>
      <c r="F64" s="153"/>
    </row>
    <row r="65" spans="1:8" x14ac:dyDescent="0.3">
      <c r="A65" s="37" t="s">
        <v>186</v>
      </c>
      <c r="B65" s="44"/>
      <c r="C65" s="95"/>
      <c r="D65" s="44">
        <v>28041.94</v>
      </c>
      <c r="E65" s="95">
        <f>+D65-5000</f>
        <v>23041.94</v>
      </c>
      <c r="F65" s="153"/>
    </row>
    <row r="66" spans="1:8" x14ac:dyDescent="0.3">
      <c r="A66" s="37"/>
      <c r="B66" s="44"/>
      <c r="C66" s="95"/>
      <c r="D66" s="44"/>
      <c r="E66" s="95"/>
      <c r="F66" s="153"/>
    </row>
    <row r="67" spans="1:8" ht="15" thickBot="1" x14ac:dyDescent="0.35">
      <c r="A67" s="64"/>
      <c r="B67" s="113"/>
      <c r="C67" s="114"/>
      <c r="D67" s="114"/>
      <c r="E67" s="114"/>
      <c r="F67" s="153"/>
    </row>
    <row r="68" spans="1:8" s="67" customFormat="1" x14ac:dyDescent="0.3">
      <c r="A68" s="66"/>
      <c r="B68" s="68"/>
      <c r="C68" s="104"/>
      <c r="D68" s="104"/>
      <c r="E68" s="104"/>
      <c r="G68" s="69"/>
      <c r="H68" s="69"/>
    </row>
    <row r="69" spans="1:8" x14ac:dyDescent="0.3">
      <c r="D69" s="165">
        <f>+B54+B53+B51+B44+B42+B40+B39+B38+B37+B23+B18</f>
        <v>6045</v>
      </c>
    </row>
  </sheetData>
  <mergeCells count="3">
    <mergeCell ref="A1:E1"/>
    <mergeCell ref="A2:E2"/>
    <mergeCell ref="A3:E3"/>
  </mergeCells>
  <pageMargins left="0.25" right="0.25" top="0.75" bottom="0.75" header="0.3" footer="0.3"/>
  <pageSetup scale="71" orientation="landscape" r:id="rId1"/>
  <rowBreaks count="1" manualBreakCount="1">
    <brk id="33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54"/>
  <sheetViews>
    <sheetView topLeftCell="A2" zoomScale="115" zoomScaleNormal="115" workbookViewId="0">
      <selection activeCell="B6" sqref="B6"/>
    </sheetView>
  </sheetViews>
  <sheetFormatPr defaultRowHeight="14.4" x14ac:dyDescent="0.3"/>
  <cols>
    <col min="1" max="1" width="38.109375" bestFit="1" customWidth="1"/>
    <col min="2" max="2" width="10.5546875" style="28" customWidth="1"/>
    <col min="3" max="3" width="11.6640625" style="14" customWidth="1"/>
    <col min="4" max="4" width="11.6640625" customWidth="1"/>
  </cols>
  <sheetData>
    <row r="1" spans="1:4" ht="25.8" x14ac:dyDescent="0.5">
      <c r="A1" s="189" t="s">
        <v>49</v>
      </c>
      <c r="B1" s="192"/>
      <c r="C1" s="192"/>
      <c r="D1" s="192"/>
    </row>
    <row r="2" spans="1:4" ht="25.8" x14ac:dyDescent="0.5">
      <c r="A2" s="189" t="s">
        <v>50</v>
      </c>
      <c r="B2" s="189"/>
      <c r="C2" s="189"/>
      <c r="D2" s="189"/>
    </row>
    <row r="3" spans="1:4" x14ac:dyDescent="0.3">
      <c r="A3" s="36" t="s">
        <v>0</v>
      </c>
      <c r="B3" s="22"/>
    </row>
    <row r="4" spans="1:4" ht="15" thickBot="1" x14ac:dyDescent="0.35">
      <c r="A4" t="s">
        <v>1</v>
      </c>
      <c r="B4" s="24">
        <v>23000</v>
      </c>
      <c r="C4" s="12">
        <v>2448.36</v>
      </c>
      <c r="D4" s="10">
        <f>+C4/B4</f>
        <v>0.1064504347826087</v>
      </c>
    </row>
    <row r="5" spans="1:4" ht="15.6" thickTop="1" thickBot="1" x14ac:dyDescent="0.35">
      <c r="A5" t="s">
        <v>2</v>
      </c>
      <c r="B5" s="25">
        <v>2</v>
      </c>
      <c r="C5" s="12">
        <v>0.2</v>
      </c>
      <c r="D5" s="10">
        <f>+C5/B5</f>
        <v>0.1</v>
      </c>
    </row>
    <row r="6" spans="1:4" ht="15.6" thickTop="1" thickBot="1" x14ac:dyDescent="0.35">
      <c r="A6" t="s">
        <v>3</v>
      </c>
      <c r="B6" s="26">
        <v>500</v>
      </c>
      <c r="C6" s="12">
        <v>0</v>
      </c>
      <c r="D6" s="10">
        <f>+C6/B6</f>
        <v>0</v>
      </c>
    </row>
    <row r="7" spans="1:4" ht="15.6" thickTop="1" thickBot="1" x14ac:dyDescent="0.35">
      <c r="A7" s="5" t="s">
        <v>4</v>
      </c>
      <c r="B7" s="27">
        <f>SUM(B4:B6)</f>
        <v>23502</v>
      </c>
      <c r="C7" s="13">
        <f>SUM(C4:C5)</f>
        <v>2448.56</v>
      </c>
      <c r="D7" s="10">
        <f>+C7/B7</f>
        <v>0.10418517572972513</v>
      </c>
    </row>
    <row r="8" spans="1:4" ht="15.6" thickTop="1" thickBot="1" x14ac:dyDescent="0.35">
      <c r="A8" s="2"/>
    </row>
    <row r="9" spans="1:4" s="1" customFormat="1" x14ac:dyDescent="0.3">
      <c r="B9" s="193" t="s">
        <v>5</v>
      </c>
      <c r="C9" s="194"/>
      <c r="D9" s="195"/>
    </row>
    <row r="10" spans="1:4" s="1" customFormat="1" ht="15" thickBot="1" x14ac:dyDescent="0.35">
      <c r="B10" s="29" t="s">
        <v>6</v>
      </c>
      <c r="C10" s="15" t="s">
        <v>7</v>
      </c>
      <c r="D10" s="9" t="s">
        <v>8</v>
      </c>
    </row>
    <row r="11" spans="1:4" s="1" customFormat="1" x14ac:dyDescent="0.3">
      <c r="A11" s="36" t="s">
        <v>10</v>
      </c>
      <c r="B11" s="30"/>
      <c r="C11" s="16"/>
    </row>
    <row r="12" spans="1:4" x14ac:dyDescent="0.3">
      <c r="A12" t="s">
        <v>11</v>
      </c>
      <c r="B12" s="31">
        <v>7500</v>
      </c>
      <c r="C12" s="17"/>
      <c r="D12" s="10">
        <f t="shared" ref="D12:D20" si="0">+C12/B12</f>
        <v>0</v>
      </c>
    </row>
    <row r="13" spans="1:4" x14ac:dyDescent="0.3">
      <c r="A13" s="4" t="s">
        <v>12</v>
      </c>
      <c r="B13" s="31">
        <v>4420</v>
      </c>
      <c r="C13" s="18"/>
      <c r="D13" s="10">
        <f t="shared" si="0"/>
        <v>0</v>
      </c>
    </row>
    <row r="14" spans="1:4" x14ac:dyDescent="0.3">
      <c r="A14" t="s">
        <v>13</v>
      </c>
      <c r="B14" s="31">
        <v>580</v>
      </c>
      <c r="C14" s="18"/>
      <c r="D14" s="10">
        <f t="shared" si="0"/>
        <v>0</v>
      </c>
    </row>
    <row r="15" spans="1:4" x14ac:dyDescent="0.3">
      <c r="A15" t="s">
        <v>14</v>
      </c>
      <c r="B15" s="31">
        <v>50</v>
      </c>
      <c r="C15" s="18"/>
      <c r="D15" s="10">
        <f t="shared" si="0"/>
        <v>0</v>
      </c>
    </row>
    <row r="16" spans="1:4" x14ac:dyDescent="0.3">
      <c r="A16" t="s">
        <v>15</v>
      </c>
      <c r="B16" s="31">
        <v>50</v>
      </c>
      <c r="C16" s="18"/>
      <c r="D16" s="10">
        <f t="shared" si="0"/>
        <v>0</v>
      </c>
    </row>
    <row r="17" spans="1:4" x14ac:dyDescent="0.3">
      <c r="A17" t="s">
        <v>16</v>
      </c>
      <c r="B17" s="31">
        <v>400</v>
      </c>
      <c r="C17" s="18"/>
      <c r="D17" s="10">
        <f t="shared" si="0"/>
        <v>0</v>
      </c>
    </row>
    <row r="18" spans="1:4" x14ac:dyDescent="0.3">
      <c r="A18" t="s">
        <v>17</v>
      </c>
      <c r="B18" s="31">
        <v>450</v>
      </c>
      <c r="D18" s="10">
        <f t="shared" si="0"/>
        <v>0</v>
      </c>
    </row>
    <row r="19" spans="1:4" x14ac:dyDescent="0.3">
      <c r="A19" t="s">
        <v>18</v>
      </c>
      <c r="B19" s="31">
        <v>925</v>
      </c>
      <c r="C19" s="18"/>
      <c r="D19" s="10">
        <f t="shared" si="0"/>
        <v>0</v>
      </c>
    </row>
    <row r="20" spans="1:4" x14ac:dyDescent="0.3">
      <c r="A20" s="4" t="s">
        <v>19</v>
      </c>
      <c r="B20" s="31">
        <v>1500</v>
      </c>
      <c r="C20" s="18"/>
      <c r="D20" s="10">
        <f t="shared" si="0"/>
        <v>0</v>
      </c>
    </row>
    <row r="21" spans="1:4" x14ac:dyDescent="0.3">
      <c r="A21" t="s">
        <v>20</v>
      </c>
      <c r="B21" s="31">
        <v>2100</v>
      </c>
      <c r="C21" s="18">
        <v>50.28</v>
      </c>
      <c r="D21" s="10">
        <f>+C21/B21</f>
        <v>2.3942857142857144E-2</v>
      </c>
    </row>
    <row r="22" spans="1:4" x14ac:dyDescent="0.3">
      <c r="A22" s="2" t="s">
        <v>21</v>
      </c>
      <c r="B22" s="31">
        <v>0</v>
      </c>
      <c r="C22" s="18"/>
      <c r="D22" s="10"/>
    </row>
    <row r="23" spans="1:4" x14ac:dyDescent="0.3">
      <c r="A23" s="2" t="s">
        <v>22</v>
      </c>
      <c r="B23" s="31">
        <v>900</v>
      </c>
      <c r="C23" s="18"/>
      <c r="D23" s="10">
        <f t="shared" ref="D23:D27" si="1">+C23/B23</f>
        <v>0</v>
      </c>
    </row>
    <row r="24" spans="1:4" x14ac:dyDescent="0.3">
      <c r="A24" s="3" t="s">
        <v>23</v>
      </c>
      <c r="B24" s="31">
        <v>800</v>
      </c>
      <c r="C24" s="18"/>
      <c r="D24" s="10">
        <f t="shared" si="1"/>
        <v>0</v>
      </c>
    </row>
    <row r="25" spans="1:4" x14ac:dyDescent="0.3">
      <c r="A25" s="2" t="s">
        <v>24</v>
      </c>
      <c r="B25" s="31">
        <v>1500</v>
      </c>
      <c r="C25" s="18"/>
      <c r="D25" s="10">
        <f t="shared" si="1"/>
        <v>0</v>
      </c>
    </row>
    <row r="26" spans="1:4" x14ac:dyDescent="0.3">
      <c r="A26" s="4" t="s">
        <v>25</v>
      </c>
      <c r="B26" s="31">
        <v>0</v>
      </c>
      <c r="C26" s="18"/>
      <c r="D26" s="10"/>
    </row>
    <row r="27" spans="1:4" ht="15" thickBot="1" x14ac:dyDescent="0.35">
      <c r="A27" s="4" t="s">
        <v>26</v>
      </c>
      <c r="B27" s="31">
        <v>100</v>
      </c>
      <c r="C27" s="18"/>
      <c r="D27" s="10">
        <f t="shared" si="1"/>
        <v>0</v>
      </c>
    </row>
    <row r="28" spans="1:4" s="1" customFormat="1" ht="15.6" thickTop="1" thickBot="1" x14ac:dyDescent="0.35">
      <c r="A28" s="7" t="s">
        <v>27</v>
      </c>
      <c r="B28" s="32">
        <f>SUM(B12:B27)</f>
        <v>21275</v>
      </c>
      <c r="C28" s="19">
        <f>SUM(C12:C27)</f>
        <v>50.28</v>
      </c>
      <c r="D28" s="8">
        <f>SUM(C28/B28)</f>
        <v>2.3633372502937719E-3</v>
      </c>
    </row>
    <row r="29" spans="1:4" ht="15" thickTop="1" x14ac:dyDescent="0.3">
      <c r="B29" s="33"/>
      <c r="C29" s="20"/>
      <c r="D29" s="6"/>
    </row>
    <row r="30" spans="1:4" x14ac:dyDescent="0.3">
      <c r="A30" s="5" t="s">
        <v>28</v>
      </c>
    </row>
    <row r="31" spans="1:4" x14ac:dyDescent="0.3">
      <c r="A31" t="s">
        <v>29</v>
      </c>
      <c r="B31" s="28">
        <v>500</v>
      </c>
      <c r="D31" s="10">
        <f>+C31/B31</f>
        <v>0</v>
      </c>
    </row>
    <row r="32" spans="1:4" x14ac:dyDescent="0.3">
      <c r="A32" t="s">
        <v>30</v>
      </c>
      <c r="B32" s="28">
        <v>855</v>
      </c>
      <c r="C32" s="14">
        <v>71.25</v>
      </c>
      <c r="D32" s="10">
        <f>+C32/B32</f>
        <v>8.3333333333333329E-2</v>
      </c>
    </row>
    <row r="33" spans="1:4" x14ac:dyDescent="0.3">
      <c r="A33" t="s">
        <v>31</v>
      </c>
      <c r="B33" s="28">
        <v>300</v>
      </c>
      <c r="D33" s="10">
        <f t="shared" ref="D33:D45" si="2">+C33/B33</f>
        <v>0</v>
      </c>
    </row>
    <row r="34" spans="1:4" x14ac:dyDescent="0.3">
      <c r="A34" t="s">
        <v>32</v>
      </c>
      <c r="B34" s="28">
        <v>1200</v>
      </c>
      <c r="D34" s="10">
        <f t="shared" si="2"/>
        <v>0</v>
      </c>
    </row>
    <row r="35" spans="1:4" x14ac:dyDescent="0.3">
      <c r="A35" t="s">
        <v>33</v>
      </c>
      <c r="B35" s="28">
        <v>150</v>
      </c>
      <c r="D35" s="10">
        <f t="shared" si="2"/>
        <v>0</v>
      </c>
    </row>
    <row r="36" spans="1:4" x14ac:dyDescent="0.3">
      <c r="A36" t="s">
        <v>34</v>
      </c>
      <c r="B36" s="28">
        <v>1500</v>
      </c>
      <c r="D36" s="10">
        <f t="shared" si="2"/>
        <v>0</v>
      </c>
    </row>
    <row r="37" spans="1:4" x14ac:dyDescent="0.3">
      <c r="A37" t="s">
        <v>35</v>
      </c>
      <c r="B37" s="28">
        <v>1000</v>
      </c>
      <c r="D37" s="10">
        <f t="shared" si="2"/>
        <v>0</v>
      </c>
    </row>
    <row r="38" spans="1:4" x14ac:dyDescent="0.3">
      <c r="A38" t="s">
        <v>36</v>
      </c>
      <c r="B38" s="28">
        <v>200</v>
      </c>
      <c r="D38" s="10">
        <f t="shared" si="2"/>
        <v>0</v>
      </c>
    </row>
    <row r="39" spans="1:4" x14ac:dyDescent="0.3">
      <c r="A39" t="s">
        <v>37</v>
      </c>
      <c r="B39" s="28">
        <v>65</v>
      </c>
      <c r="D39" s="10">
        <f t="shared" si="2"/>
        <v>0</v>
      </c>
    </row>
    <row r="40" spans="1:4" x14ac:dyDescent="0.3">
      <c r="A40" t="s">
        <v>38</v>
      </c>
      <c r="B40" s="28">
        <v>100</v>
      </c>
      <c r="D40" s="10">
        <f t="shared" si="2"/>
        <v>0</v>
      </c>
    </row>
    <row r="41" spans="1:4" x14ac:dyDescent="0.3">
      <c r="A41" t="s">
        <v>39</v>
      </c>
      <c r="B41" s="28">
        <v>500</v>
      </c>
      <c r="D41" s="10">
        <f t="shared" si="2"/>
        <v>0</v>
      </c>
    </row>
    <row r="42" spans="1:4" x14ac:dyDescent="0.3">
      <c r="A42" t="s">
        <v>40</v>
      </c>
      <c r="B42" s="28">
        <v>800</v>
      </c>
      <c r="D42" s="10">
        <f t="shared" si="2"/>
        <v>0</v>
      </c>
    </row>
    <row r="43" spans="1:4" x14ac:dyDescent="0.3">
      <c r="A43" t="s">
        <v>41</v>
      </c>
      <c r="B43" s="28">
        <v>800</v>
      </c>
      <c r="D43" s="10">
        <f t="shared" si="2"/>
        <v>0</v>
      </c>
    </row>
    <row r="44" spans="1:4" x14ac:dyDescent="0.3">
      <c r="A44" t="s">
        <v>42</v>
      </c>
      <c r="B44" s="28">
        <v>200</v>
      </c>
      <c r="D44" s="10">
        <f t="shared" si="2"/>
        <v>0</v>
      </c>
    </row>
    <row r="45" spans="1:4" x14ac:dyDescent="0.3">
      <c r="A45" t="s">
        <v>43</v>
      </c>
      <c r="B45" s="28">
        <v>1300</v>
      </c>
      <c r="D45" s="10">
        <f t="shared" si="2"/>
        <v>0</v>
      </c>
    </row>
    <row r="46" spans="1:4" x14ac:dyDescent="0.3">
      <c r="A46" t="s">
        <v>44</v>
      </c>
      <c r="B46" s="28">
        <v>1050</v>
      </c>
      <c r="C46" s="14">
        <v>46.37</v>
      </c>
      <c r="D46" s="10">
        <f>+C46/B46</f>
        <v>4.4161904761904756E-2</v>
      </c>
    </row>
    <row r="47" spans="1:4" x14ac:dyDescent="0.3">
      <c r="A47" t="s">
        <v>45</v>
      </c>
      <c r="B47" s="28">
        <v>720</v>
      </c>
      <c r="D47" s="10">
        <f t="shared" ref="D47:D48" si="3">+C47/B47</f>
        <v>0</v>
      </c>
    </row>
    <row r="48" spans="1:4" x14ac:dyDescent="0.3">
      <c r="A48" t="s">
        <v>46</v>
      </c>
      <c r="B48" s="28">
        <v>75</v>
      </c>
      <c r="D48" s="10">
        <f t="shared" si="3"/>
        <v>0</v>
      </c>
    </row>
    <row r="49" spans="1:4" ht="15" thickBot="1" x14ac:dyDescent="0.35">
      <c r="A49" t="s">
        <v>51</v>
      </c>
      <c r="D49" s="10"/>
    </row>
    <row r="50" spans="1:4" s="1" customFormat="1" ht="15.6" thickTop="1" thickBot="1" x14ac:dyDescent="0.35">
      <c r="A50" s="5" t="s">
        <v>47</v>
      </c>
      <c r="B50" s="34">
        <f>SUM(B31:B49)</f>
        <v>11315</v>
      </c>
      <c r="C50" s="21">
        <f>SUM(C31:C49)</f>
        <v>117.62</v>
      </c>
      <c r="D50" s="11">
        <f>SUM(C50/B50)</f>
        <v>1.0395050817498896E-2</v>
      </c>
    </row>
    <row r="51" spans="1:4" ht="15.6" thickTop="1" thickBot="1" x14ac:dyDescent="0.35"/>
    <row r="52" spans="1:4" s="1" customFormat="1" ht="15.6" thickTop="1" thickBot="1" x14ac:dyDescent="0.35">
      <c r="A52" s="5" t="s">
        <v>48</v>
      </c>
      <c r="B52" s="34">
        <f>SUM(B28+B50)</f>
        <v>32590</v>
      </c>
      <c r="C52" s="21">
        <f>SUM(C28+C50)</f>
        <v>167.9</v>
      </c>
      <c r="D52" s="11">
        <f>SUM(C52/B52)</f>
        <v>5.1518870819269712E-3</v>
      </c>
    </row>
    <row r="53" spans="1:4" ht="15" thickTop="1" x14ac:dyDescent="0.3"/>
    <row r="54" spans="1:4" x14ac:dyDescent="0.3">
      <c r="A54" s="5" t="s">
        <v>52</v>
      </c>
      <c r="B54" s="35">
        <f>+B7-B52</f>
        <v>-9088</v>
      </c>
      <c r="C54" s="23">
        <f>+C7-C52</f>
        <v>2280.66</v>
      </c>
    </row>
  </sheetData>
  <mergeCells count="3">
    <mergeCell ref="A1:D1"/>
    <mergeCell ref="B9:D9"/>
    <mergeCell ref="A2:D2"/>
  </mergeCells>
  <pageMargins left="1.45" right="0.7" top="0.75" bottom="0.75" header="0.3" footer="0.3"/>
  <pageSetup scale="83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2018 APPROVED BUDGET DETAILS</vt:lpstr>
      <vt:lpstr>2019 BUDGET DETAIL-APPROVED</vt:lpstr>
      <vt:lpstr>2019 APPROVED BUDGET FEB ASSEMB</vt:lpstr>
      <vt:lpstr>2020 REQUESTED BUDGET</vt:lpstr>
      <vt:lpstr>2016 APPROVED BUDGET</vt:lpstr>
      <vt:lpstr>'2016 APPROVED BUDGET'!Print_Area</vt:lpstr>
      <vt:lpstr>'2018 APPROVED BUDGET DETAILS'!Print_Area</vt:lpstr>
      <vt:lpstr>'2019 APPROVED BUDGET FEB ASSEMB'!Print_Area</vt:lpstr>
      <vt:lpstr>'2019 BUDGET DETAIL-APPROVED'!Print_Area</vt:lpstr>
      <vt:lpstr>'2020 REQUESTED BUDGET'!Print_Area</vt:lpstr>
      <vt:lpstr>'2019 APPROVED BUDGET FEB ASSEMB'!Print_Titles</vt:lpstr>
      <vt:lpstr>'2019 BUDGET DETAIL-APPROVED'!Print_Titles</vt:lpstr>
      <vt:lpstr>'2020 REQUESTED BUDGET'!Print_Titles</vt:lpstr>
    </vt:vector>
  </TitlesOfParts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R Groves</dc:creator>
  <cp:lastModifiedBy>User</cp:lastModifiedBy>
  <cp:revision/>
  <cp:lastPrinted>2019-11-17T05:47:12Z</cp:lastPrinted>
  <dcterms:created xsi:type="dcterms:W3CDTF">2014-10-25T22:19:38Z</dcterms:created>
  <dcterms:modified xsi:type="dcterms:W3CDTF">2020-11-22T21:23:57Z</dcterms:modified>
</cp:coreProperties>
</file>